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50" windowWidth="12120" windowHeight="8895" activeTab="6"/>
  </bookViews>
  <sheets>
    <sheet name="Hx Budgets" sheetId="1" r:id="rId1"/>
    <sheet name="Enterprise etc Summ" sheetId="2" r:id="rId2"/>
    <sheet name="Water Ent" sheetId="3" r:id="rId3"/>
    <sheet name="Sewer Ent" sheetId="4" r:id="rId4"/>
    <sheet name="Chap 90" sheetId="5" r:id="rId5"/>
    <sheet name="1" sheetId="6" r:id="rId6"/>
    <sheet name="Revenues" sheetId="7" r:id="rId7"/>
  </sheets>
  <definedNames>
    <definedName name="Changes">'Revenues'!$A$3:$C$7</definedName>
    <definedName name="_xlnm.Print_Area" localSheetId="1">'Enterprise etc Summ'!$A$1:$P$27</definedName>
    <definedName name="_xlnm.Print_Area" localSheetId="0">'Hx Budgets'!$B$1:$Q$1939</definedName>
    <definedName name="_xlnm.Print_Area" localSheetId="6">'Revenues'!$B$1:$Q$132</definedName>
    <definedName name="_xlnm.Print_Area" localSheetId="3">'Sewer Ent'!$A$1:$O$80</definedName>
    <definedName name="_xlnm.Print_Area" localSheetId="2">'Water Ent'!$A$1:$O$125</definedName>
    <definedName name="_xlnm.Print_Titles" localSheetId="0">'Hx Budgets'!$1:$2</definedName>
    <definedName name="_xlnm.Print_Titles" localSheetId="6">'Revenues'!$2:$3</definedName>
    <definedName name="_xlnm.Print_Titles" localSheetId="3">'Sewer Ent'!$1:$2</definedName>
    <definedName name="_xlnm.Print_Titles" localSheetId="2">'Water Ent'!$1:$2</definedName>
  </definedNames>
  <calcPr fullCalcOnLoad="1"/>
</workbook>
</file>

<file path=xl/comments7.xml><?xml version="1.0" encoding="utf-8"?>
<comments xmlns="http://schemas.openxmlformats.org/spreadsheetml/2006/main">
  <authors>
    <author>mkleckner</author>
  </authors>
  <commentList>
    <comment ref="B74" authorId="0">
      <text>
        <r>
          <rPr>
            <b/>
            <sz val="8"/>
            <rFont val="Tahoma"/>
            <family val="0"/>
          </rPr>
          <t>:</t>
        </r>
        <r>
          <rPr>
            <sz val="8"/>
            <rFont val="Tahoma"/>
            <family val="0"/>
          </rPr>
          <t xml:space="preserve">
cemetery perpetual care account and parking meter proceeds</t>
        </r>
      </text>
    </comment>
  </commentList>
</comments>
</file>

<file path=xl/sharedStrings.xml><?xml version="1.0" encoding="utf-8"?>
<sst xmlns="http://schemas.openxmlformats.org/spreadsheetml/2006/main" count="4480" uniqueCount="3244">
  <si>
    <t>TOTAL SEWER ENTERPRISE</t>
  </si>
  <si>
    <t>WATER ADMINISTRATION</t>
  </si>
  <si>
    <t>23-5001</t>
  </si>
  <si>
    <t>5005</t>
  </si>
  <si>
    <t>5006</t>
  </si>
  <si>
    <t>5007</t>
  </si>
  <si>
    <t>5008</t>
  </si>
  <si>
    <t>5009</t>
  </si>
  <si>
    <t>LICENSES ETC.</t>
  </si>
  <si>
    <t>5010</t>
  </si>
  <si>
    <t>5011</t>
  </si>
  <si>
    <t xml:space="preserve">GAS </t>
  </si>
  <si>
    <t>5012</t>
  </si>
  <si>
    <t>MAINTENANCE BUILDING</t>
  </si>
  <si>
    <t>5013</t>
  </si>
  <si>
    <t>5014</t>
  </si>
  <si>
    <t>MAINT. COMPUTER EQUIPMENT</t>
  </si>
  <si>
    <t>5015</t>
  </si>
  <si>
    <t>MAINT.GROUNDS</t>
  </si>
  <si>
    <t>5016</t>
  </si>
  <si>
    <t>5017</t>
  </si>
  <si>
    <t>LABORATORY SERVICES</t>
  </si>
  <si>
    <t>5018</t>
  </si>
  <si>
    <t>5019</t>
  </si>
  <si>
    <t>5020</t>
  </si>
  <si>
    <t>COMP. LEASED LINES</t>
  </si>
  <si>
    <t>5021</t>
  </si>
  <si>
    <t>5022</t>
  </si>
  <si>
    <t>5023</t>
  </si>
  <si>
    <t>BEEPERS</t>
  </si>
  <si>
    <t>LOCK BOX SERVICE</t>
  </si>
  <si>
    <t>5024</t>
  </si>
  <si>
    <t>5025</t>
  </si>
  <si>
    <t>TOWN SUPPORT SERVICES</t>
  </si>
  <si>
    <t>IN STATE TRAVEL REIMBURSEMENT</t>
  </si>
  <si>
    <t>ASSOC. DUES/CONFER.</t>
  </si>
  <si>
    <t>OFFICE EQUIPMENT/COMPUTERS</t>
  </si>
  <si>
    <t>BUILDING PROJECTS</t>
  </si>
  <si>
    <t>TOTAL WATER ADMIN.</t>
  </si>
  <si>
    <t>23-5037</t>
  </si>
  <si>
    <t>MWRA ASSESSMENT</t>
  </si>
  <si>
    <t>23-5038</t>
  </si>
  <si>
    <t>MWRA BOND REPAYMENT</t>
  </si>
  <si>
    <t>WATER DISTRIB/MAINT SERVICES</t>
  </si>
  <si>
    <t>23-5058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</si>
  <si>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</si>
  <si>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</si>
  <si>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</si>
  <si>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</si>
  <si>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</si>
  <si>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</si>
  <si>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</si>
  <si>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</si>
  <si>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</si>
  <si>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LICENSE ETC</t>
  </si>
  <si>
    <t>5068</t>
  </si>
  <si>
    <t>MAINT VEHICLE GARAGE</t>
  </si>
  <si>
    <t>MAINT EQUIP OTHER</t>
  </si>
  <si>
    <t>SIDEWALK REPAIR</t>
  </si>
  <si>
    <t>CONTRACT PATCHING</t>
  </si>
  <si>
    <t>POLICE DETAIL</t>
  </si>
  <si>
    <t>BACKFLOW PREV/CROSS CONN  PROG</t>
  </si>
  <si>
    <t>OIL/LUB</t>
  </si>
  <si>
    <t>MEDICAL SUPP</t>
  </si>
  <si>
    <t>PUBLIC WORKS SUPP WATER</t>
  </si>
  <si>
    <t>5080.1</t>
  </si>
  <si>
    <t>WATER REPAIR SUPPLIES</t>
  </si>
  <si>
    <t>CLAIM SETTLEMENT</t>
  </si>
  <si>
    <t>WATER MAIN REPLACEMENT</t>
  </si>
  <si>
    <t>MWRA BOND FOR WATER MAIN REPLACEMENT</t>
  </si>
  <si>
    <t>WATER METERS</t>
  </si>
  <si>
    <t>WATER SYSTEM STUDY UPDATE</t>
  </si>
  <si>
    <t>VEHICLE REPLACEMENT</t>
  </si>
  <si>
    <t>MWRA-METER MODERNIZATION</t>
  </si>
  <si>
    <t xml:space="preserve">TOTAL WATER DIST/MAINT </t>
  </si>
  <si>
    <t>TOTAL WATER SERVICES</t>
  </si>
  <si>
    <t>314</t>
  </si>
  <si>
    <t>SANITARY SEWER MAINTENANCE</t>
  </si>
  <si>
    <t>MWRA SEWER ASSESSMENT</t>
  </si>
  <si>
    <t>316</t>
  </si>
  <si>
    <t>30-6976.01</t>
  </si>
  <si>
    <t>30-6976.02</t>
  </si>
  <si>
    <t>30-6976.03</t>
  </si>
  <si>
    <t>30-6976.04</t>
  </si>
  <si>
    <t>30-6976.06</t>
  </si>
  <si>
    <t>30-6976.05</t>
  </si>
  <si>
    <t>30-6976.07</t>
  </si>
  <si>
    <t>30.6976.08</t>
  </si>
  <si>
    <t>30.6976.09</t>
  </si>
  <si>
    <t>30-6976.10</t>
  </si>
  <si>
    <t>30-6976.11</t>
  </si>
  <si>
    <t>30-6976.12</t>
  </si>
  <si>
    <t>30-6976.13</t>
  </si>
  <si>
    <t>30-6976.14</t>
  </si>
  <si>
    <t>30-6976.15</t>
  </si>
  <si>
    <t>30-6976.16</t>
  </si>
  <si>
    <t>POLICE-REPLACE 3 CRUISERS</t>
  </si>
  <si>
    <t>POLICE-REPLACE 50 HANDGUNS &amp; SECURITY HOLSTERS</t>
  </si>
  <si>
    <t>POLICE COMM-UPGRADE FIRE ALARM SIGNAL DIGITIZER</t>
  </si>
  <si>
    <t>FIRE-REPLACE FRONTLINE PUMPER</t>
  </si>
  <si>
    <t>FIRE-AUTOMATED SHIFT FILLING SOFTWARE</t>
  </si>
  <si>
    <t>SCH-REPLACE PUBLIC ADDRESS SYSTEMS</t>
  </si>
  <si>
    <t>SCH-REPLACE PHONE &amp; VOICEMAIL SYSTEMS</t>
  </si>
  <si>
    <t>SCH-REPLACE WINNBROOK OIL BURNER</t>
  </si>
  <si>
    <t>IT-CONSULTING FOR FINANCIAL MGMT SOFTWARE PKG</t>
  </si>
  <si>
    <t>DPW 15,000 LB DUMP TRUCK</t>
  </si>
  <si>
    <t>DPW 16FT CUT LAWNMOWER &amp; 5 TON TRAILER</t>
  </si>
  <si>
    <t>BLDG - REPOINT TOWN HALL</t>
  </si>
  <si>
    <t>BLDG - REPOINT POLICE STATION</t>
  </si>
  <si>
    <t>BLDG - LIFE SAFETY &amp; FACILITY REPAIR PROGRAM</t>
  </si>
  <si>
    <t>LIBRARY - REPLACE PHONE SYSTEM</t>
  </si>
  <si>
    <t>DPW - RINK REPAIR</t>
  </si>
  <si>
    <t>30-5216.00</t>
  </si>
  <si>
    <t xml:space="preserve">STORMWATER MAINT </t>
  </si>
  <si>
    <t>360</t>
  </si>
  <si>
    <t>362</t>
  </si>
  <si>
    <t>MWRA WATER ASSESSMENT</t>
  </si>
  <si>
    <t>364</t>
  </si>
  <si>
    <t>WATER DISTR/MAINT</t>
  </si>
  <si>
    <t>TOTAL WATER ENTERPRISE</t>
  </si>
  <si>
    <t>GIS HARDWARE/SOFTWARE</t>
  </si>
  <si>
    <t>Total Revenue to be raised</t>
  </si>
  <si>
    <t>5480-140</t>
  </si>
  <si>
    <t>5672</t>
  </si>
  <si>
    <t>5482-140</t>
  </si>
  <si>
    <t>5673</t>
  </si>
  <si>
    <t>5584-140</t>
  </si>
  <si>
    <t>5674</t>
  </si>
  <si>
    <t>5585-140</t>
  </si>
  <si>
    <t>5675</t>
  </si>
  <si>
    <t>5586-140</t>
  </si>
  <si>
    <t>5675.1</t>
  </si>
  <si>
    <t>OS-MAGS/SUBSCRIPTS</t>
  </si>
  <si>
    <t>5710-140</t>
  </si>
  <si>
    <t>5676</t>
  </si>
  <si>
    <t>5676.5</t>
  </si>
  <si>
    <t>DRUG TASK FORCE</t>
  </si>
  <si>
    <t>5872-140</t>
  </si>
  <si>
    <t>5677</t>
  </si>
  <si>
    <t>WELLINGTON SCHOOL WINDOWS</t>
  </si>
  <si>
    <t>PAVEMENT &amp; SIDEWALK MGMT</t>
  </si>
  <si>
    <t>MTL SPREADER/REHAB TRUCK</t>
  </si>
  <si>
    <t>3 FRONT SNOW PLOWS</t>
  </si>
  <si>
    <t>CEMETERY SEWER TAP</t>
  </si>
  <si>
    <t>REPLACE FIELD TRACTOR</t>
  </si>
  <si>
    <t>UPGRADE ACCT/SOFTWARE</t>
  </si>
  <si>
    <t>LIFE SAFETY REPAIR PROG</t>
  </si>
  <si>
    <t>CAP PROJECTS STUDY</t>
  </si>
  <si>
    <t>REPLACE ZAMBONI</t>
  </si>
  <si>
    <t>10 LAN BASED PC WRKSTAT</t>
  </si>
  <si>
    <t>SAFETY IMPROVE PACKAGE</t>
  </si>
  <si>
    <t>LIBRARY - REHAB ELEVATOR</t>
  </si>
  <si>
    <t>TOTAL DETECTIVES &amp; INVESTIGATION</t>
  </si>
  <si>
    <t>POLICE COMMUNITY SERVICES</t>
  </si>
  <si>
    <t>5111-145</t>
  </si>
  <si>
    <t>5699</t>
  </si>
  <si>
    <t>5131-145</t>
  </si>
  <si>
    <t>5700</t>
  </si>
  <si>
    <t>5142-145</t>
  </si>
  <si>
    <t>5701</t>
  </si>
  <si>
    <t>5145-145</t>
  </si>
  <si>
    <t>5702</t>
  </si>
  <si>
    <t>5171-145</t>
  </si>
  <si>
    <t>5703</t>
  </si>
  <si>
    <t>5174-145</t>
  </si>
  <si>
    <t>5704</t>
  </si>
  <si>
    <t>5704.1</t>
  </si>
  <si>
    <t>5175-145</t>
  </si>
  <si>
    <t>5705</t>
  </si>
  <si>
    <t>5193-145</t>
  </si>
  <si>
    <t>5706</t>
  </si>
  <si>
    <t>5194-145</t>
  </si>
  <si>
    <t>5707</t>
  </si>
  <si>
    <t>5218-145</t>
  </si>
  <si>
    <t>5708</t>
  </si>
  <si>
    <t>5246-145</t>
  </si>
  <si>
    <t>5709</t>
  </si>
  <si>
    <t>5259-145</t>
  </si>
  <si>
    <t>5710</t>
  </si>
  <si>
    <t>5710.1</t>
  </si>
  <si>
    <t xml:space="preserve">AUXILIARY POLICE </t>
  </si>
  <si>
    <t>5420-145</t>
  </si>
  <si>
    <t>5711</t>
  </si>
  <si>
    <t>5428-145</t>
  </si>
  <si>
    <t>5712</t>
  </si>
  <si>
    <t>PARKING METER SUPPLIES</t>
  </si>
  <si>
    <t>5480-145</t>
  </si>
  <si>
    <t>5713</t>
  </si>
  <si>
    <t>5482-145</t>
  </si>
  <si>
    <t>5714</t>
  </si>
  <si>
    <t>5710-145</t>
  </si>
  <si>
    <t>5715</t>
  </si>
  <si>
    <t>5731-145</t>
  </si>
  <si>
    <t>5716</t>
  </si>
  <si>
    <t>5732-145</t>
  </si>
  <si>
    <t>5717</t>
  </si>
  <si>
    <t>TOTAL COMMUNITY SERVICE</t>
  </si>
  <si>
    <t>TOTAL POLICE</t>
  </si>
  <si>
    <t xml:space="preserve"> PUBLIC SAFETY COMMUNICATIONS</t>
  </si>
  <si>
    <t>5111-149</t>
  </si>
  <si>
    <t>5506</t>
  </si>
  <si>
    <t>5112-149</t>
  </si>
  <si>
    <t>5507</t>
  </si>
  <si>
    <t>5132-149</t>
  </si>
  <si>
    <t>5508</t>
  </si>
  <si>
    <t>5142-149</t>
  </si>
  <si>
    <t>5509</t>
  </si>
  <si>
    <t>5145-149</t>
  </si>
  <si>
    <t>5510</t>
  </si>
  <si>
    <t>5147-149</t>
  </si>
  <si>
    <t>5511</t>
  </si>
  <si>
    <t>5171-149</t>
  </si>
  <si>
    <t>5512</t>
  </si>
  <si>
    <t>5174-149</t>
  </si>
  <si>
    <t>5513</t>
  </si>
  <si>
    <t>5175-149</t>
  </si>
  <si>
    <t>5514</t>
  </si>
  <si>
    <t>5180-149</t>
  </si>
  <si>
    <t>5515</t>
  </si>
  <si>
    <t>5193-149</t>
  </si>
  <si>
    <t>5516</t>
  </si>
  <si>
    <t>SNOW REMOVAL</t>
  </si>
  <si>
    <t>ROAD MAINTENANCE</t>
  </si>
  <si>
    <t>CENTRAL FLEET MAINT-HWY FAC</t>
  </si>
  <si>
    <t>UNIFORM MAINT.</t>
  </si>
  <si>
    <t>5194-149</t>
  </si>
  <si>
    <t>5516.1</t>
  </si>
  <si>
    <t>5516.2</t>
  </si>
  <si>
    <t>EMT STIPEND</t>
  </si>
  <si>
    <t>5250-149</t>
  </si>
  <si>
    <t>5517</t>
  </si>
  <si>
    <t>R&amp;M COMPUTER EQUIP.</t>
  </si>
  <si>
    <t>5258-149</t>
  </si>
  <si>
    <t>5518</t>
  </si>
  <si>
    <t>5341-149</t>
  </si>
  <si>
    <t>5519</t>
  </si>
  <si>
    <t>5347-149</t>
  </si>
  <si>
    <t>5520</t>
  </si>
  <si>
    <t>5348-149</t>
  </si>
  <si>
    <t>5520.1</t>
  </si>
  <si>
    <t>BASE RADIOS DISPATCH MAINT.</t>
  </si>
  <si>
    <t>5308-149</t>
  </si>
  <si>
    <t>5520.2</t>
  </si>
  <si>
    <t>COMPUTER EQUIPMENT MAINT.</t>
  </si>
  <si>
    <t>5420-149</t>
  </si>
  <si>
    <t>5521</t>
  </si>
  <si>
    <t>5426-149</t>
  </si>
  <si>
    <t>5522</t>
  </si>
  <si>
    <t>5584-149</t>
  </si>
  <si>
    <t>5523</t>
  </si>
  <si>
    <t>UNIFORMS</t>
  </si>
  <si>
    <t>5585-149</t>
  </si>
  <si>
    <t>5524</t>
  </si>
  <si>
    <t>PORTABLE  RADIO SUPPLIES</t>
  </si>
  <si>
    <t>5524.1</t>
  </si>
  <si>
    <t>COMPUTER EQUIPMENT</t>
  </si>
  <si>
    <t>5872-149</t>
  </si>
  <si>
    <t>5525</t>
  </si>
  <si>
    <t>COMMUNICATION EQUIPMENT</t>
  </si>
  <si>
    <t>TOTAL PUBLIC SAFETY COMMUNICATIONS</t>
  </si>
  <si>
    <t>FIRE ADMINISTRATION</t>
  </si>
  <si>
    <t>5111-150</t>
  </si>
  <si>
    <t>5739</t>
  </si>
  <si>
    <t>5112-150</t>
  </si>
  <si>
    <t>5740</t>
  </si>
  <si>
    <t>5142-150</t>
  </si>
  <si>
    <t>5741</t>
  </si>
  <si>
    <t>INCENTIVE,EDUCATION</t>
  </si>
  <si>
    <t>5145-150</t>
  </si>
  <si>
    <t>5742</t>
  </si>
  <si>
    <t>5146-150</t>
  </si>
  <si>
    <t>5743</t>
  </si>
  <si>
    <t>5174-150</t>
  </si>
  <si>
    <t>5744</t>
  </si>
  <si>
    <t>5175-150</t>
  </si>
  <si>
    <t>5745</t>
  </si>
  <si>
    <t>5180-150</t>
  </si>
  <si>
    <t>5746</t>
  </si>
  <si>
    <t>5193-150</t>
  </si>
  <si>
    <t>5747</t>
  </si>
  <si>
    <t>UNIFORM MAINT</t>
  </si>
  <si>
    <t>5747.1</t>
  </si>
  <si>
    <t>5218-150</t>
  </si>
  <si>
    <t>5748</t>
  </si>
  <si>
    <t>5231-150</t>
  </si>
  <si>
    <t>INJURY - AUXILIARY POLICE</t>
  </si>
  <si>
    <t>ELECTRICITY- BUILDINGS</t>
  </si>
  <si>
    <t>REPAIR SERVICE-RECREATION FACT.</t>
  </si>
  <si>
    <t>MAINT. BUILDINGS.</t>
  </si>
  <si>
    <t>ANIMAL CONTROL VAN</t>
  </si>
  <si>
    <t>FIRE STAT FEASIBILITY ST</t>
  </si>
  <si>
    <t>FIRE STAT. EXHAUST SYSTEM</t>
  </si>
  <si>
    <t>PS RECORDS MGMT SERVER</t>
  </si>
  <si>
    <t>RMV NON-RENEWAL CHARGE</t>
  </si>
  <si>
    <t>TRAINING/EDUCATION</t>
  </si>
  <si>
    <t>5750</t>
  </si>
  <si>
    <t>5281-150</t>
  </si>
  <si>
    <t>5751</t>
  </si>
  <si>
    <t>5751.1</t>
  </si>
  <si>
    <t>COMPUTER MAINTENANCE</t>
  </si>
  <si>
    <t>5420-150</t>
  </si>
  <si>
    <t>5752</t>
  </si>
  <si>
    <t>5424-150</t>
  </si>
  <si>
    <t>5752.1</t>
  </si>
  <si>
    <t>5451-150</t>
  </si>
  <si>
    <t>5753</t>
  </si>
  <si>
    <t>5586-150</t>
  </si>
  <si>
    <t>5754</t>
  </si>
  <si>
    <t>5710-150</t>
  </si>
  <si>
    <t>5755</t>
  </si>
  <si>
    <t>IN STATE TRAVEL (TRNG)</t>
  </si>
  <si>
    <t>5730-150</t>
  </si>
  <si>
    <t>5756</t>
  </si>
  <si>
    <t>TOTAL FIRE ADMINISTRATION</t>
  </si>
  <si>
    <t>FIRE SUPPRESSION</t>
  </si>
  <si>
    <t>5111-170</t>
  </si>
  <si>
    <t>5778</t>
  </si>
  <si>
    <t>5131-170</t>
  </si>
  <si>
    <t>5779</t>
  </si>
  <si>
    <t>5142-170</t>
  </si>
  <si>
    <t>5780</t>
  </si>
  <si>
    <t>EDUCATION</t>
  </si>
  <si>
    <t>5145-170</t>
  </si>
  <si>
    <t>5781</t>
  </si>
  <si>
    <t>5147-170</t>
  </si>
  <si>
    <t>5782</t>
  </si>
  <si>
    <t>5149-170</t>
  </si>
  <si>
    <t>5783</t>
  </si>
  <si>
    <t>CAPACITY DIFFERENCE</t>
  </si>
  <si>
    <t>5174-170</t>
  </si>
  <si>
    <t>5784</t>
  </si>
  <si>
    <t>5175-170</t>
  </si>
  <si>
    <t>5785</t>
  </si>
  <si>
    <t>5180-170</t>
  </si>
  <si>
    <t>5786</t>
  </si>
  <si>
    <t>5193-170</t>
  </si>
  <si>
    <t>5787</t>
  </si>
  <si>
    <t>5194-170</t>
  </si>
  <si>
    <t>5788</t>
  </si>
  <si>
    <t>IN SERVICE TRNG</t>
  </si>
  <si>
    <t>5196-170</t>
  </si>
  <si>
    <t>5789</t>
  </si>
  <si>
    <t>5301-170</t>
  </si>
  <si>
    <t>5790</t>
  </si>
  <si>
    <t>MEDICAL BILLS</t>
  </si>
  <si>
    <t>5347-170</t>
  </si>
  <si>
    <t>5791</t>
  </si>
  <si>
    <t>RADIO MAINTENANCE</t>
  </si>
  <si>
    <t>5482-170</t>
  </si>
  <si>
    <t>5792</t>
  </si>
  <si>
    <t>GASOLINE</t>
  </si>
  <si>
    <t>5488-170</t>
  </si>
  <si>
    <t>5793</t>
  </si>
  <si>
    <t>VEHICLE MAINT.</t>
  </si>
  <si>
    <t>5794</t>
  </si>
  <si>
    <t>5875-170</t>
  </si>
  <si>
    <t>5796</t>
  </si>
  <si>
    <t>FIREFIGHTING EQUIPMENT</t>
  </si>
  <si>
    <t>5872-170</t>
  </si>
  <si>
    <t>5798</t>
  </si>
  <si>
    <t>5730-170</t>
  </si>
  <si>
    <t>5795</t>
  </si>
  <si>
    <t>DUES METROFIRE</t>
  </si>
  <si>
    <t>5874-170</t>
  </si>
  <si>
    <t>5797</t>
  </si>
  <si>
    <t>5800</t>
  </si>
  <si>
    <t>FIRE STATION RENOVATION</t>
  </si>
  <si>
    <t>TOTAL FIRE SUPPRESSION</t>
  </si>
  <si>
    <t>EMERGENCY MEDICAL SERVICES</t>
  </si>
  <si>
    <t>5111-190</t>
  </si>
  <si>
    <t>5821</t>
  </si>
  <si>
    <t>5131-190</t>
  </si>
  <si>
    <t>5822</t>
  </si>
  <si>
    <t>5145-190</t>
  </si>
  <si>
    <t>5823</t>
  </si>
  <si>
    <t>HOLIDAY PAY</t>
  </si>
  <si>
    <t>5147-190</t>
  </si>
  <si>
    <t>5824</t>
  </si>
  <si>
    <t>5174-190</t>
  </si>
  <si>
    <t>5825</t>
  </si>
  <si>
    <t>5175-190</t>
  </si>
  <si>
    <t>5826</t>
  </si>
  <si>
    <t>5180-190</t>
  </si>
  <si>
    <t>5826.1</t>
  </si>
  <si>
    <t>MEDICARE INSURANCE</t>
  </si>
  <si>
    <t>5193-190</t>
  </si>
  <si>
    <t>5827</t>
  </si>
  <si>
    <t>UNIFORM MAINTENANCE</t>
  </si>
  <si>
    <t>5196-190</t>
  </si>
  <si>
    <t>5828</t>
  </si>
  <si>
    <t>5386-190</t>
  </si>
  <si>
    <t>5829</t>
  </si>
  <si>
    <t>AMBULANCE BILLING SERVICES</t>
  </si>
  <si>
    <t>5481-190</t>
  </si>
  <si>
    <t>5830</t>
  </si>
  <si>
    <t>5488-190</t>
  </si>
  <si>
    <t>5831</t>
  </si>
  <si>
    <t>VEHICLE MAINTENANCE</t>
  </si>
  <si>
    <t>5501-190</t>
  </si>
  <si>
    <t>5832</t>
  </si>
  <si>
    <t>MEDICAL SUPPLIES</t>
  </si>
  <si>
    <t>5801-190</t>
  </si>
  <si>
    <t>5835</t>
  </si>
  <si>
    <t>FY06 NEEDS</t>
  </si>
  <si>
    <t>DEFIBRILLATOR</t>
  </si>
  <si>
    <t>TOTAL EMERGENCY MEDICAL SERV.</t>
  </si>
  <si>
    <t>TOTAL FIRE</t>
  </si>
  <si>
    <t>EMERGENCY MANAGEMENT</t>
  </si>
  <si>
    <t>PART TIME</t>
  </si>
  <si>
    <t>5112-195</t>
  </si>
  <si>
    <t>5251-195</t>
  </si>
  <si>
    <t>5855</t>
  </si>
  <si>
    <t>MAINTENANCE</t>
  </si>
  <si>
    <t>5314-195</t>
  </si>
  <si>
    <t>5856</t>
  </si>
  <si>
    <t>PROF SERV.TRNG.</t>
  </si>
  <si>
    <t>5341-195</t>
  </si>
  <si>
    <t>5857</t>
  </si>
  <si>
    <t>5857.XX</t>
  </si>
  <si>
    <t>COPIER MAINTENANCE</t>
  </si>
  <si>
    <t>5420-195</t>
  </si>
  <si>
    <t>5858</t>
  </si>
  <si>
    <t>5730-195</t>
  </si>
  <si>
    <t>5859</t>
  </si>
  <si>
    <t>ASSOCIATION DUES</t>
  </si>
  <si>
    <t>5872-195</t>
  </si>
  <si>
    <t>TELEPHONE SYSTEM</t>
  </si>
  <si>
    <t>SHELTER EMERGENCY OPERATIONS</t>
  </si>
  <si>
    <t>TOTAL EMERGENCY MANAGEMENT</t>
  </si>
  <si>
    <t>TOTAL PUBLIC SAFETY</t>
  </si>
  <si>
    <t>5100-200</t>
  </si>
  <si>
    <t>8000</t>
  </si>
  <si>
    <t>SALARIES/WAGES</t>
  </si>
  <si>
    <t>5171-200</t>
  </si>
  <si>
    <t>8176</t>
  </si>
  <si>
    <t>5172-200</t>
  </si>
  <si>
    <t>8177</t>
  </si>
  <si>
    <t>5174-200</t>
  </si>
  <si>
    <t>8178</t>
  </si>
  <si>
    <t>5175-200</t>
  </si>
  <si>
    <t>8179</t>
  </si>
  <si>
    <t>HEALTH INSURANCE-ACTIVE</t>
  </si>
  <si>
    <t>5180-200</t>
  </si>
  <si>
    <t>8180</t>
  </si>
  <si>
    <t>MEDICARE TAX</t>
  </si>
  <si>
    <t>8181</t>
  </si>
  <si>
    <t>HEALTH INSURANCE-RETIRED</t>
  </si>
  <si>
    <t>TOTAL SALARIES/FRINGE BENEFITS</t>
  </si>
  <si>
    <t>9000</t>
  </si>
  <si>
    <t>NON-SALARIES</t>
  </si>
  <si>
    <t>5800-200</t>
  </si>
  <si>
    <t>CAPITAL BUDGET-EQUIPMENT</t>
  </si>
  <si>
    <t>TOTAL EDUCATION</t>
  </si>
  <si>
    <t>P</t>
  </si>
  <si>
    <t>5175-203</t>
  </si>
  <si>
    <t>HEALTH INS.-RETIRED SCH EMPLOYEES</t>
  </si>
  <si>
    <t>5690-200</t>
  </si>
  <si>
    <t>9601</t>
  </si>
  <si>
    <t>MINUTEMAN REG. VOC. SCHOOL</t>
  </si>
  <si>
    <t>9601.1</t>
  </si>
  <si>
    <t>MINUTEMAN REG. SPECIAL RESERVE</t>
  </si>
  <si>
    <t>TOTAL MINUTEMAN REGIONAL VOC. SCHOOL</t>
  </si>
  <si>
    <t>GRAND TOTAL EDUCATION</t>
  </si>
  <si>
    <t>Increase of $200,000 due to fuel, special education, and other anticipated costs.</t>
  </si>
  <si>
    <t>Subject to review by the School Committee.</t>
  </si>
  <si>
    <t>COMMUNITY DEVELOPMENT ADMIN.</t>
  </si>
  <si>
    <t>5111-302</t>
  </si>
  <si>
    <t>5912</t>
  </si>
  <si>
    <t>5142-302</t>
  </si>
  <si>
    <t>5913</t>
  </si>
  <si>
    <t>5146-302</t>
  </si>
  <si>
    <t>5914</t>
  </si>
  <si>
    <t>5171-302</t>
  </si>
  <si>
    <t>5915</t>
  </si>
  <si>
    <t>5174-302</t>
  </si>
  <si>
    <t>5916</t>
  </si>
  <si>
    <t>5175-302</t>
  </si>
  <si>
    <t>5917</t>
  </si>
  <si>
    <t>5180-302</t>
  </si>
  <si>
    <t>5918</t>
  </si>
  <si>
    <t>5249-302</t>
  </si>
  <si>
    <t>5919</t>
  </si>
  <si>
    <t>REPAIRS/OFFICE EQUIP.</t>
  </si>
  <si>
    <t>5300-302</t>
  </si>
  <si>
    <t>5920</t>
  </si>
  <si>
    <t>5341-302</t>
  </si>
  <si>
    <t>5920.1</t>
  </si>
  <si>
    <t>5343-302</t>
  </si>
  <si>
    <t>5921</t>
  </si>
  <si>
    <t>5346-302</t>
  </si>
  <si>
    <t>5922</t>
  </si>
  <si>
    <t>FLU SHOTS FOR TOWN EMPLOYEES</t>
  </si>
  <si>
    <t>5420-302</t>
  </si>
  <si>
    <t>5923</t>
  </si>
  <si>
    <t>5424-302</t>
  </si>
  <si>
    <t>5924</t>
  </si>
  <si>
    <t>5426-302</t>
  </si>
  <si>
    <t>5925</t>
  </si>
  <si>
    <t>DATA PROCESSING</t>
  </si>
  <si>
    <t>5586-302</t>
  </si>
  <si>
    <t>5926</t>
  </si>
  <si>
    <t>BOOKS/PERIODICAL</t>
  </si>
  <si>
    <t>5926.1</t>
  </si>
  <si>
    <t>VEHICLE SUPPLIES / OVERSIGHT</t>
  </si>
  <si>
    <t>5710-302</t>
  </si>
  <si>
    <t>5927</t>
  </si>
  <si>
    <t>5711-302</t>
  </si>
  <si>
    <t>5928</t>
  </si>
  <si>
    <t>5730-302</t>
  </si>
  <si>
    <t>ESTIMATED</t>
  </si>
  <si>
    <t>STREET OPENING PERMIT SOFTWARE</t>
  </si>
  <si>
    <t>SOIL REMOVAL</t>
  </si>
  <si>
    <t>PLAYGROUND EQUIP MAINT</t>
  </si>
  <si>
    <t>REPLACE ZAMBONI BATTERIES</t>
  </si>
  <si>
    <t>CEMETERY/ GIS SOFTWARE</t>
  </si>
  <si>
    <t>WATER BILLING SERVICE</t>
  </si>
  <si>
    <t>529700</t>
  </si>
  <si>
    <t>569500</t>
  </si>
  <si>
    <t>SAFE DRINKING WATER ASSESSMENT</t>
  </si>
  <si>
    <t>538500</t>
  </si>
  <si>
    <t>WATER RESERVE</t>
  </si>
  <si>
    <t>5308</t>
  </si>
  <si>
    <t>BILLING SERVICES</t>
  </si>
  <si>
    <t>REVENUES</t>
  </si>
  <si>
    <t>5929</t>
  </si>
  <si>
    <t>5874-302</t>
  </si>
  <si>
    <t>5930</t>
  </si>
  <si>
    <t>5875-302</t>
  </si>
  <si>
    <t>5931</t>
  </si>
  <si>
    <t>PURCHASE OF SOFTWARE PROGRAMS</t>
  </si>
  <si>
    <t>TOTAL COMMUNITY DEV. ADMIN.</t>
  </si>
  <si>
    <t>PLANNING</t>
  </si>
  <si>
    <t>5111-303</t>
  </si>
  <si>
    <t>5953</t>
  </si>
  <si>
    <t>SALARIES - FULL TIME</t>
  </si>
  <si>
    <t>5171-303</t>
  </si>
  <si>
    <t>5953.5</t>
  </si>
  <si>
    <t>5175-303</t>
  </si>
  <si>
    <t>5954</t>
  </si>
  <si>
    <t>5180-303</t>
  </si>
  <si>
    <t>5954.1</t>
  </si>
  <si>
    <t>5249-303</t>
  </si>
  <si>
    <t>5954.5</t>
  </si>
  <si>
    <t>MAINT OF OFFICE EQUIP</t>
  </si>
  <si>
    <t>5300-303</t>
  </si>
  <si>
    <t>5955</t>
  </si>
  <si>
    <t>5955.1</t>
  </si>
  <si>
    <t>PROFESSIONAL SERVICES-FHC</t>
  </si>
  <si>
    <t>5343-303</t>
  </si>
  <si>
    <t>5956</t>
  </si>
  <si>
    <t>5346-303</t>
  </si>
  <si>
    <t>5956.1</t>
  </si>
  <si>
    <t>INTERNET ACCESS SERVICE</t>
  </si>
  <si>
    <t>5420-303</t>
  </si>
  <si>
    <t>5957</t>
  </si>
  <si>
    <t>5426-303</t>
  </si>
  <si>
    <t>5958</t>
  </si>
  <si>
    <t>DATA PROCESSING SUPPLIES</t>
  </si>
  <si>
    <t>5586-303</t>
  </si>
  <si>
    <t>5959</t>
  </si>
  <si>
    <t>5710-303</t>
  </si>
  <si>
    <t>5960</t>
  </si>
  <si>
    <t>5730-303</t>
  </si>
  <si>
    <t>5961</t>
  </si>
  <si>
    <t>TOTAL   PLANNING</t>
  </si>
  <si>
    <t>ENGINEERING SERVICES</t>
  </si>
  <si>
    <t>5111-304</t>
  </si>
  <si>
    <t>5983</t>
  </si>
  <si>
    <t>5121-304</t>
  </si>
  <si>
    <t>5983.1</t>
  </si>
  <si>
    <t>PT SALARIES-ENGINEERING STUDENTS</t>
  </si>
  <si>
    <t>5131-304</t>
  </si>
  <si>
    <t>5983.3</t>
  </si>
  <si>
    <t>5146-304</t>
  </si>
  <si>
    <t>5984</t>
  </si>
  <si>
    <t>STABILIZATION FOR ASH LANDFILL</t>
  </si>
  <si>
    <t>5142-304</t>
  </si>
  <si>
    <t>5985</t>
  </si>
  <si>
    <t>5171-304</t>
  </si>
  <si>
    <t>5986</t>
  </si>
  <si>
    <t>5174-304</t>
  </si>
  <si>
    <t>5987</t>
  </si>
  <si>
    <t>5175-304</t>
  </si>
  <si>
    <t>5988</t>
  </si>
  <si>
    <t>5180-304</t>
  </si>
  <si>
    <t>5989</t>
  </si>
  <si>
    <t>5190-304</t>
  </si>
  <si>
    <t>5990</t>
  </si>
  <si>
    <t>CLOTHING ALLOWANCE</t>
  </si>
  <si>
    <t>5249-304</t>
  </si>
  <si>
    <t>5991</t>
  </si>
  <si>
    <t>REPAIR/OFFICE EQUIP</t>
  </si>
  <si>
    <t>5308-304</t>
  </si>
  <si>
    <t>5991.1</t>
  </si>
  <si>
    <t>5482-304</t>
  </si>
  <si>
    <t>5992</t>
  </si>
  <si>
    <t>5488-304</t>
  </si>
  <si>
    <t>5993</t>
  </si>
  <si>
    <t>VEHICULAR SUPPLIES</t>
  </si>
  <si>
    <t>5551-304</t>
  </si>
  <si>
    <t>5994</t>
  </si>
  <si>
    <t>5586-304</t>
  </si>
  <si>
    <t>5995</t>
  </si>
  <si>
    <t>5710-304</t>
  </si>
  <si>
    <t>5996</t>
  </si>
  <si>
    <t>5730-304</t>
  </si>
  <si>
    <t>5997</t>
  </si>
  <si>
    <t>5801-304</t>
  </si>
  <si>
    <t>6005</t>
  </si>
  <si>
    <t xml:space="preserve">PURCHASE OF COMPUTER SOFTWARE </t>
  </si>
  <si>
    <t>6006</t>
  </si>
  <si>
    <t>5781.1</t>
  </si>
  <si>
    <t>5146.030</t>
  </si>
  <si>
    <t>5146.170</t>
  </si>
  <si>
    <t>TOTAL ENGINEERING SERVICES</t>
  </si>
  <si>
    <t>5111-306</t>
  </si>
  <si>
    <t>6019</t>
  </si>
  <si>
    <t>FULL TIME WAGE</t>
  </si>
  <si>
    <t>5112-306</t>
  </si>
  <si>
    <t>6020</t>
  </si>
  <si>
    <t>PART TIME WAGE</t>
  </si>
  <si>
    <t>5131-306</t>
  </si>
  <si>
    <t>6020.1</t>
  </si>
  <si>
    <t>5142-306</t>
  </si>
  <si>
    <t>6021</t>
  </si>
  <si>
    <t>5146-306</t>
  </si>
  <si>
    <t>6022</t>
  </si>
  <si>
    <t>5171-306</t>
  </si>
  <si>
    <t>6023</t>
  </si>
  <si>
    <t>5174-306</t>
  </si>
  <si>
    <t>6024</t>
  </si>
  <si>
    <t>5175-306</t>
  </si>
  <si>
    <t>6025</t>
  </si>
  <si>
    <t>5180-306</t>
  </si>
  <si>
    <t>6026</t>
  </si>
  <si>
    <t>5193-306</t>
  </si>
  <si>
    <t>6027</t>
  </si>
  <si>
    <t>CLOTHING</t>
  </si>
  <si>
    <t>5249-306</t>
  </si>
  <si>
    <t>6028</t>
  </si>
  <si>
    <t>MAINT. OFFICE EQUIP.</t>
  </si>
  <si>
    <t>5300-306</t>
  </si>
  <si>
    <t>6029</t>
  </si>
  <si>
    <t>5343-306</t>
  </si>
  <si>
    <t>6030</t>
  </si>
  <si>
    <t>5420-306</t>
  </si>
  <si>
    <t>6031</t>
  </si>
  <si>
    <t>5586-306</t>
  </si>
  <si>
    <t>6032</t>
  </si>
  <si>
    <t>5588-306</t>
  </si>
  <si>
    <t>6033</t>
  </si>
  <si>
    <t>SEALER'S SUPPLIES</t>
  </si>
  <si>
    <t>5652-306</t>
  </si>
  <si>
    <t>6034</t>
  </si>
  <si>
    <t>JOINT INSPECTION PROGRAM</t>
  </si>
  <si>
    <t>5710-306</t>
  </si>
  <si>
    <t>6035</t>
  </si>
  <si>
    <t>REPAIR &amp; MAINT OFFICE FURN</t>
  </si>
  <si>
    <t>CAPACITY GRADE</t>
  </si>
  <si>
    <t>FY 1998</t>
  </si>
  <si>
    <t>FY1999</t>
  </si>
  <si>
    <t>FY2000</t>
  </si>
  <si>
    <t>FY2001</t>
  </si>
  <si>
    <t>5711-306</t>
  </si>
  <si>
    <t>6036</t>
  </si>
  <si>
    <t>5731-306</t>
  </si>
  <si>
    <t>6037</t>
  </si>
  <si>
    <t>DUES/CONFERENCE</t>
  </si>
  <si>
    <t>5874-306</t>
  </si>
  <si>
    <t>6040</t>
  </si>
  <si>
    <t>TOTAL INSPECTION SERVICES</t>
  </si>
  <si>
    <t>TOTAL COMMUNITY DEVELOPMENT</t>
  </si>
  <si>
    <t>5111-310</t>
  </si>
  <si>
    <t>6060</t>
  </si>
  <si>
    <t>5146-310</t>
  </si>
  <si>
    <t>6061</t>
  </si>
  <si>
    <t>5153-310</t>
  </si>
  <si>
    <t>6062</t>
  </si>
  <si>
    <t>PAID PERSONAL DAYS</t>
  </si>
  <si>
    <t>5171-310</t>
  </si>
  <si>
    <t>6063</t>
  </si>
  <si>
    <t>5174-310</t>
  </si>
  <si>
    <t>6064</t>
  </si>
  <si>
    <t>5175-310</t>
  </si>
  <si>
    <t>6065</t>
  </si>
  <si>
    <t>5180-310</t>
  </si>
  <si>
    <t>6066</t>
  </si>
  <si>
    <t>5190-310</t>
  </si>
  <si>
    <t>6067</t>
  </si>
  <si>
    <t>MEAL ALLOWANCE</t>
  </si>
  <si>
    <t>5191-310</t>
  </si>
  <si>
    <t>6068</t>
  </si>
  <si>
    <t>5193-310</t>
  </si>
  <si>
    <t>6069</t>
  </si>
  <si>
    <t>5197-310</t>
  </si>
  <si>
    <t>6070</t>
  </si>
  <si>
    <t>CERTIFICATIONS</t>
  </si>
  <si>
    <t>5281-310</t>
  </si>
  <si>
    <t>6071</t>
  </si>
  <si>
    <t>LEASE-PHOTOCOPY</t>
  </si>
  <si>
    <t>5301-310</t>
  </si>
  <si>
    <t>6072</t>
  </si>
  <si>
    <t>MEDICAL REPORTS</t>
  </si>
  <si>
    <t>5346-310</t>
  </si>
  <si>
    <t>6073</t>
  </si>
  <si>
    <t>5347-310</t>
  </si>
  <si>
    <t>6074</t>
  </si>
  <si>
    <t>MAINT. RADIO</t>
  </si>
  <si>
    <t>5420-310</t>
  </si>
  <si>
    <t>6075</t>
  </si>
  <si>
    <t>5424-310</t>
  </si>
  <si>
    <t>6076</t>
  </si>
  <si>
    <t>5426-310</t>
  </si>
  <si>
    <t>6077</t>
  </si>
  <si>
    <t>5501-310</t>
  </si>
  <si>
    <t>6078</t>
  </si>
  <si>
    <t>5530-310</t>
  </si>
  <si>
    <t>6079</t>
  </si>
  <si>
    <t>P.W. SUPPLIES CL</t>
  </si>
  <si>
    <t>5710-310</t>
  </si>
  <si>
    <t>6080</t>
  </si>
  <si>
    <t>5730-310</t>
  </si>
  <si>
    <t>6081</t>
  </si>
  <si>
    <t>5874-310</t>
  </si>
  <si>
    <t>6083</t>
  </si>
  <si>
    <t>FY03</t>
  </si>
  <si>
    <t>WATER-POOL &amp; IRRIGATION</t>
  </si>
  <si>
    <t>IT/NETWORK SUPPORT</t>
  </si>
  <si>
    <t>STREET MAINTENANCE</t>
  </si>
  <si>
    <t>5111-312</t>
  </si>
  <si>
    <t>6103</t>
  </si>
  <si>
    <t>5131-312</t>
  </si>
  <si>
    <t>6104</t>
  </si>
  <si>
    <t>5132-312</t>
  </si>
  <si>
    <t>6105</t>
  </si>
  <si>
    <t>OVERTIME-SNOW</t>
  </si>
  <si>
    <t>5140-312</t>
  </si>
  <si>
    <t>6106</t>
  </si>
  <si>
    <t>FLSA ADJ-ALL DIVISIONS</t>
  </si>
  <si>
    <t>TELEPHONE/NEXTEL</t>
  </si>
  <si>
    <t>CLOTHING ALLOW A.C.O.</t>
  </si>
  <si>
    <t>WORKING OUT OF GRADE</t>
  </si>
  <si>
    <t>5146-312</t>
  </si>
  <si>
    <t>6107</t>
  </si>
  <si>
    <t>5171-312</t>
  </si>
  <si>
    <t>6108</t>
  </si>
  <si>
    <t>5174-312</t>
  </si>
  <si>
    <t>6109</t>
  </si>
  <si>
    <t>5175-312</t>
  </si>
  <si>
    <t>6110</t>
  </si>
  <si>
    <t>5180-312</t>
  </si>
  <si>
    <t>6111</t>
  </si>
  <si>
    <t>5293-312</t>
  </si>
  <si>
    <t>6112</t>
  </si>
  <si>
    <t>CONTRACT/SNOW REMOVAL</t>
  </si>
  <si>
    <t>5298-312</t>
  </si>
  <si>
    <t>6113</t>
  </si>
  <si>
    <t>5308-312</t>
  </si>
  <si>
    <t>6114</t>
  </si>
  <si>
    <t>POL DETAILS - REGULAR</t>
  </si>
  <si>
    <t>5309-312</t>
  </si>
  <si>
    <t>6115</t>
  </si>
  <si>
    <t>POLICE DETAILS - SNOW</t>
  </si>
  <si>
    <t>6115.1</t>
  </si>
  <si>
    <t>5488-312</t>
  </si>
  <si>
    <t>6116</t>
  </si>
  <si>
    <t>MAINT/VEHICLES(SNOW)</t>
  </si>
  <si>
    <t>5530-312</t>
  </si>
  <si>
    <t>6117</t>
  </si>
  <si>
    <t>PUBLIC WORKS/SUPPLIES</t>
  </si>
  <si>
    <t>6117.1</t>
  </si>
  <si>
    <t>PUBLIC WORKS/SUPPLIES-LINES &amp; SIGNS</t>
  </si>
  <si>
    <t>5531-312</t>
  </si>
  <si>
    <t>6118</t>
  </si>
  <si>
    <t>PUP WKS SUP.SALT/SAND</t>
  </si>
  <si>
    <t>6118.2</t>
  </si>
  <si>
    <t>COMPUTER &amp; EQUIPMENT</t>
  </si>
  <si>
    <t>5893-312</t>
  </si>
  <si>
    <t>6118.3</t>
  </si>
  <si>
    <t>STREET PAINTING MACHINE</t>
  </si>
  <si>
    <t>TOTAL STREET MAINT.</t>
  </si>
  <si>
    <t>POLICE DETAILS</t>
  </si>
  <si>
    <t>RETIREMENT</t>
  </si>
  <si>
    <t>HEALTH INS- DEFICIT</t>
  </si>
  <si>
    <t>COMPREHENSIVE STUDY ART#2 STM</t>
  </si>
  <si>
    <t>FIRE STATION EXHAUST ART.#5</t>
  </si>
  <si>
    <t>SCHOOL E-RATE ART #4</t>
  </si>
  <si>
    <t>PUBLIC WORKS SUPPLIES</t>
  </si>
  <si>
    <t>5111-318</t>
  </si>
  <si>
    <t>6234</t>
  </si>
  <si>
    <t>5140-318</t>
  </si>
  <si>
    <t>6235</t>
  </si>
  <si>
    <t>5146-318</t>
  </si>
  <si>
    <t>6236</t>
  </si>
  <si>
    <t>SCHOOL COMPUTER - E RATE</t>
  </si>
  <si>
    <t>6971.110</t>
  </si>
  <si>
    <t>7099</t>
  </si>
  <si>
    <t>INTERFUND TRANSFERS OUT</t>
  </si>
  <si>
    <t>6973.010</t>
  </si>
  <si>
    <t>6973.020</t>
  </si>
  <si>
    <t>6973.030</t>
  </si>
  <si>
    <t>6973.040</t>
  </si>
  <si>
    <t>6973.050</t>
  </si>
  <si>
    <t>6973.060</t>
  </si>
  <si>
    <t>6973.070</t>
  </si>
  <si>
    <t>6973.080</t>
  </si>
  <si>
    <t>5 POLICE MOBILE LAPTOPS</t>
  </si>
  <si>
    <t>REPLACE FIRE PUMPER</t>
  </si>
  <si>
    <t>FY06 BUD</t>
  </si>
  <si>
    <t>CITRIX PROJ *&amp; WRKSTAT</t>
  </si>
  <si>
    <t>WINN BRK SCH-BURNER</t>
  </si>
  <si>
    <t>BUTLER SCH-WINDOW BAL</t>
  </si>
  <si>
    <t>HS - EXHAUST FANS</t>
  </si>
  <si>
    <t>HS RESURF &amp; REPAIR POOL</t>
  </si>
  <si>
    <t>5171-318</t>
  </si>
  <si>
    <t>6237</t>
  </si>
  <si>
    <t>5174-318</t>
  </si>
  <si>
    <t>6238</t>
  </si>
  <si>
    <t>5175-318</t>
  </si>
  <si>
    <t>6239</t>
  </si>
  <si>
    <t>5180-318</t>
  </si>
  <si>
    <t>6240</t>
  </si>
  <si>
    <t>5218-318</t>
  </si>
  <si>
    <t>6241</t>
  </si>
  <si>
    <t>5220-318</t>
  </si>
  <si>
    <t>6242</t>
  </si>
  <si>
    <t>BUILDING HEAT - NATURAL GAS</t>
  </si>
  <si>
    <t>5231-318</t>
  </si>
  <si>
    <t>6243</t>
  </si>
  <si>
    <t>5246-318</t>
  </si>
  <si>
    <t>6244</t>
  </si>
  <si>
    <t>REP-MAINT/VEHICLES</t>
  </si>
  <si>
    <t>5341-318</t>
  </si>
  <si>
    <t>6245</t>
  </si>
  <si>
    <t>5410-318</t>
  </si>
  <si>
    <t>6246</t>
  </si>
  <si>
    <t>BUILDING HEAT - NO. 2  OIL</t>
  </si>
  <si>
    <t>5481-318</t>
  </si>
  <si>
    <t>6247</t>
  </si>
  <si>
    <t>LEADED GAS</t>
  </si>
  <si>
    <t>5482-318</t>
  </si>
  <si>
    <t>6248</t>
  </si>
  <si>
    <t>UNLEADED GAS</t>
  </si>
  <si>
    <t>5483-318</t>
  </si>
  <si>
    <t>6249</t>
  </si>
  <si>
    <t>DIESEL</t>
  </si>
  <si>
    <t>5484-318</t>
  </si>
  <si>
    <t>6250</t>
  </si>
  <si>
    <t>OIL,LUBE,ANTIFREEZE</t>
  </si>
  <si>
    <t>5485-318</t>
  </si>
  <si>
    <t>6251</t>
  </si>
  <si>
    <t>TIRES</t>
  </si>
  <si>
    <t>5488-318</t>
  </si>
  <si>
    <t>6252</t>
  </si>
  <si>
    <t>MAINT.VEHIC.SUPPLIES</t>
  </si>
  <si>
    <t>5530-318</t>
  </si>
  <si>
    <t>6253</t>
  </si>
  <si>
    <t>P.W. SUPPLIES</t>
  </si>
  <si>
    <t>5871-318</t>
  </si>
  <si>
    <t>6260</t>
  </si>
  <si>
    <t>VEHICLE A/C RECHARGER/DIAGNOSTIC</t>
  </si>
  <si>
    <t>6261</t>
  </si>
  <si>
    <t>UNDERGROUND FUEL TAKE UPGRADE</t>
  </si>
  <si>
    <t>6262</t>
  </si>
  <si>
    <t>HIGH SPEED TIRE BALANCER</t>
  </si>
  <si>
    <t>6262.1</t>
  </si>
  <si>
    <t>TIRES-FRONT END LOADER</t>
  </si>
  <si>
    <t>MUNICIPAL GARAGE EQUIP.</t>
  </si>
  <si>
    <t>FORESTRY SERVICE</t>
  </si>
  <si>
    <t>5111-320</t>
  </si>
  <si>
    <t>6275</t>
  </si>
  <si>
    <t>6275.1</t>
  </si>
  <si>
    <t>5171-320</t>
  </si>
  <si>
    <t>6276</t>
  </si>
  <si>
    <t>5175-320</t>
  </si>
  <si>
    <t>6277</t>
  </si>
  <si>
    <t>5180-320</t>
  </si>
  <si>
    <t>6277.1</t>
  </si>
  <si>
    <t>5290-320</t>
  </si>
  <si>
    <t>6278</t>
  </si>
  <si>
    <t>CONTR SERV OUTS LAB.</t>
  </si>
  <si>
    <t>5291-320</t>
  </si>
  <si>
    <t>6279</t>
  </si>
  <si>
    <t>TREE WARDEN</t>
  </si>
  <si>
    <t>SERVICE  BUD</t>
  </si>
  <si>
    <t>5309-320</t>
  </si>
  <si>
    <t>6280</t>
  </si>
  <si>
    <t>5460-320</t>
  </si>
  <si>
    <t>6281</t>
  </si>
  <si>
    <t>PLANTING TREES</t>
  </si>
  <si>
    <t>5710-320</t>
  </si>
  <si>
    <t>6282</t>
  </si>
  <si>
    <t>5730-320</t>
  </si>
  <si>
    <t>6283</t>
  </si>
  <si>
    <t>TOTAL FORESTRY SERVICES</t>
  </si>
  <si>
    <t>DELTA &amp; GROUNDS MAINTENANCE</t>
  </si>
  <si>
    <t>5111-322</t>
  </si>
  <si>
    <t>6305</t>
  </si>
  <si>
    <t>5120-322</t>
  </si>
  <si>
    <t>6305.1</t>
  </si>
  <si>
    <t>TEMPORARY LABOR</t>
  </si>
  <si>
    <t>5146-322</t>
  </si>
  <si>
    <t>6306</t>
  </si>
  <si>
    <t>5171-322</t>
  </si>
  <si>
    <t>6307</t>
  </si>
  <si>
    <t>SCHOOL TECHNOLOGY GO 9/00</t>
  </si>
  <si>
    <t>CHENERY MIDDLE SCHOOL PRIN 1/96</t>
  </si>
  <si>
    <t>SCHOOL ATHLETIC FIELDS 8/02</t>
  </si>
  <si>
    <t>TOWN HALL ANNEX &amp; PLAN GO 8/02</t>
  </si>
  <si>
    <t>TOWN GO 9/00</t>
  </si>
  <si>
    <t>SEPTIC LOAN MWPAT</t>
  </si>
  <si>
    <t>SEALER SUPPLIES</t>
  </si>
  <si>
    <t>SENIOR CITIZENS REC PROGRAMS</t>
  </si>
  <si>
    <t xml:space="preserve">  INFORMATION TECHNOLOGY</t>
  </si>
  <si>
    <t>IT NETWORK SUPPORT</t>
  </si>
  <si>
    <t>TOTAL OTHER EXPENSES</t>
  </si>
  <si>
    <t>TOTAL INFORMATION TECHNOLOGY</t>
  </si>
  <si>
    <t>INFORMATION TECHNOLOGY</t>
  </si>
  <si>
    <t>NESWEC RESERVES</t>
  </si>
  <si>
    <t>5174-322</t>
  </si>
  <si>
    <t>6308</t>
  </si>
  <si>
    <t>SEALER OF WEIGHTS &amp; MEASURES</t>
  </si>
  <si>
    <t xml:space="preserve">        TOTAL SEALER OF WEIGHTS</t>
  </si>
  <si>
    <t>5175-322</t>
  </si>
  <si>
    <t>6309</t>
  </si>
  <si>
    <t>5180-322</t>
  </si>
  <si>
    <t>6310</t>
  </si>
  <si>
    <t>5530-322</t>
  </si>
  <si>
    <t>6315</t>
  </si>
  <si>
    <t>EQUIPMENT</t>
  </si>
  <si>
    <t>SPRINKLER SYSTEM</t>
  </si>
  <si>
    <t>TOTAL DELTA &amp; LAND MAINTENANCE</t>
  </si>
  <si>
    <t>5111-340</t>
  </si>
  <si>
    <t>6374</t>
  </si>
  <si>
    <t>5131-340</t>
  </si>
  <si>
    <t>6375</t>
  </si>
  <si>
    <t>OVERTIME, FALL LEAF COL.</t>
  </si>
  <si>
    <t>5146-340</t>
  </si>
  <si>
    <t>6376</t>
  </si>
  <si>
    <t>5171-340</t>
  </si>
  <si>
    <t>6377</t>
  </si>
  <si>
    <t>5174-340</t>
  </si>
  <si>
    <t>6378</t>
  </si>
  <si>
    <t>5175-340</t>
  </si>
  <si>
    <t>6379</t>
  </si>
  <si>
    <t>5180-340</t>
  </si>
  <si>
    <t>6380</t>
  </si>
  <si>
    <t>5292-340</t>
  </si>
  <si>
    <t>6381</t>
  </si>
  <si>
    <t>CONTRACT RESIDENTIAL COLLECTION</t>
  </si>
  <si>
    <t>5293-340</t>
  </si>
  <si>
    <t>6382</t>
  </si>
  <si>
    <t>RECYCLING</t>
  </si>
  <si>
    <t>5294-340</t>
  </si>
  <si>
    <t>6383</t>
  </si>
  <si>
    <t>OUTSIDE DISPOSAL</t>
  </si>
  <si>
    <t>5298-340</t>
  </si>
  <si>
    <t>6384</t>
  </si>
  <si>
    <t>LEAF &amp; YARD WASTE</t>
  </si>
  <si>
    <t>5311-340</t>
  </si>
  <si>
    <t>6385</t>
  </si>
  <si>
    <t>TRANSFER STATION SITE MAINT.</t>
  </si>
  <si>
    <t>5530-340</t>
  </si>
  <si>
    <t>6386</t>
  </si>
  <si>
    <t>RECYCLING BINS</t>
  </si>
  <si>
    <t>TOTAL SOLID WASTE C&amp;D</t>
  </si>
  <si>
    <t>STREET LIGHTING</t>
  </si>
  <si>
    <t>5215-366</t>
  </si>
  <si>
    <t>6388</t>
  </si>
  <si>
    <t>TOTAL PUBLIC SERVICES</t>
  </si>
  <si>
    <t>BUILDINGS</t>
  </si>
  <si>
    <t>5111-324</t>
  </si>
  <si>
    <t>6390</t>
  </si>
  <si>
    <t>5112-324</t>
  </si>
  <si>
    <t>6391</t>
  </si>
  <si>
    <t>5131-324</t>
  </si>
  <si>
    <t>6392</t>
  </si>
  <si>
    <t>5146-324</t>
  </si>
  <si>
    <t>6393</t>
  </si>
  <si>
    <t>5171-324</t>
  </si>
  <si>
    <t>6394</t>
  </si>
  <si>
    <t>5174-324</t>
  </si>
  <si>
    <t>6395</t>
  </si>
  <si>
    <t>5175-324</t>
  </si>
  <si>
    <t>6396</t>
  </si>
  <si>
    <t>Org &amp;</t>
  </si>
  <si>
    <t>Object #</t>
  </si>
  <si>
    <t>511000</t>
  </si>
  <si>
    <t>21-5116</t>
  </si>
  <si>
    <t>519001</t>
  </si>
  <si>
    <t>513000</t>
  </si>
  <si>
    <t>514800</t>
  </si>
  <si>
    <t>518000</t>
  </si>
  <si>
    <t>517200</t>
  </si>
  <si>
    <t>517900</t>
  </si>
  <si>
    <t>517000</t>
  </si>
  <si>
    <t>517800</t>
  </si>
  <si>
    <t>514400</t>
  </si>
  <si>
    <t>6604402</t>
  </si>
  <si>
    <t>522900</t>
  </si>
  <si>
    <t>534100</t>
  </si>
  <si>
    <t>538200</t>
  </si>
  <si>
    <t>524200</t>
  </si>
  <si>
    <t>531600</t>
  </si>
  <si>
    <t>530900</t>
  </si>
  <si>
    <t>527300</t>
  </si>
  <si>
    <t>21-5380.</t>
  </si>
  <si>
    <t>530800</t>
  </si>
  <si>
    <t>553100</t>
  </si>
  <si>
    <t>21-5381</t>
  </si>
  <si>
    <t>553500</t>
  </si>
  <si>
    <t>587000</t>
  </si>
  <si>
    <t>66550663</t>
  </si>
  <si>
    <t>589500</t>
  </si>
  <si>
    <t>66550703</t>
  </si>
  <si>
    <t>585000</t>
  </si>
  <si>
    <t>21-5825</t>
  </si>
  <si>
    <t>66550683</t>
  </si>
  <si>
    <t>569400</t>
  </si>
  <si>
    <t>6604442</t>
  </si>
  <si>
    <t>591208</t>
  </si>
  <si>
    <t>21-5750</t>
  </si>
  <si>
    <t>578500</t>
  </si>
  <si>
    <t>596000</t>
  </si>
  <si>
    <t>6604441</t>
  </si>
  <si>
    <t>INDIRECT COST REIMBURSEMENT</t>
  </si>
  <si>
    <t>573100</t>
  </si>
  <si>
    <t>522800</t>
  </si>
  <si>
    <t>524300</t>
  </si>
  <si>
    <t>524500</t>
  </si>
  <si>
    <t>558900</t>
  </si>
  <si>
    <t>530700</t>
  </si>
  <si>
    <t>531900</t>
  </si>
  <si>
    <t>534700</t>
  </si>
  <si>
    <t>534500</t>
  </si>
  <si>
    <t>531000</t>
  </si>
  <si>
    <t>542100</t>
  </si>
  <si>
    <t>542200</t>
  </si>
  <si>
    <t>545000</t>
  </si>
  <si>
    <t>552900</t>
  </si>
  <si>
    <t>6504</t>
  </si>
  <si>
    <t>596100</t>
  </si>
  <si>
    <t>6504502</t>
  </si>
  <si>
    <t>571000</t>
  </si>
  <si>
    <t>573000</t>
  </si>
  <si>
    <t>6504503</t>
  </si>
  <si>
    <t>543000</t>
  </si>
  <si>
    <t>TOTAL OTHER EXPENSE</t>
  </si>
  <si>
    <t>6504512</t>
  </si>
  <si>
    <t>591003</t>
  </si>
  <si>
    <t>6504511</t>
  </si>
  <si>
    <t>519900</t>
  </si>
  <si>
    <t>524400</t>
  </si>
  <si>
    <t>553400</t>
  </si>
  <si>
    <t>524100</t>
  </si>
  <si>
    <t>531700</t>
  </si>
  <si>
    <t>530000</t>
  </si>
  <si>
    <t>548900</t>
  </si>
  <si>
    <t>548700</t>
  </si>
  <si>
    <t>548000</t>
  </si>
  <si>
    <t>549000</t>
  </si>
  <si>
    <t>553600</t>
  </si>
  <si>
    <t>576000</t>
  </si>
  <si>
    <t>530100</t>
  </si>
  <si>
    <t>65550723</t>
  </si>
  <si>
    <t>65550713</t>
  </si>
  <si>
    <t>6504513</t>
  </si>
  <si>
    <t>65550753</t>
  </si>
  <si>
    <t>65550743</t>
  </si>
  <si>
    <t>587001</t>
  </si>
  <si>
    <t>FY07 BUD</t>
  </si>
  <si>
    <t>5180-324</t>
  </si>
  <si>
    <t>6397</t>
  </si>
  <si>
    <t>5193-324</t>
  </si>
  <si>
    <t>6398</t>
  </si>
  <si>
    <t>5218-324</t>
  </si>
  <si>
    <t>6399.1</t>
  </si>
  <si>
    <t>ELECTRICITY-SENIOR CENTER</t>
  </si>
  <si>
    <t>6887</t>
  </si>
  <si>
    <t>6887.1</t>
  </si>
  <si>
    <t>ELECTRICITY-RINK</t>
  </si>
  <si>
    <t>5231-324</t>
  </si>
  <si>
    <t>6888</t>
  </si>
  <si>
    <t>6888.1</t>
  </si>
  <si>
    <t>WATER-RINK</t>
  </si>
  <si>
    <t>CUSTODIAL CLEANING SERVICES</t>
  </si>
  <si>
    <t>6400.1</t>
  </si>
  <si>
    <t>6401.3</t>
  </si>
  <si>
    <t>TELEPHONE-SENIOR CENTER</t>
  </si>
  <si>
    <t>6890</t>
  </si>
  <si>
    <t>OIL-RINK</t>
  </si>
  <si>
    <t>5240-324</t>
  </si>
  <si>
    <t>REPAIR SERVICE-BUILDINGS</t>
  </si>
  <si>
    <t>6401.1</t>
  </si>
  <si>
    <t>6401.4</t>
  </si>
  <si>
    <t>COPIER RENTAL/SUPPLIES</t>
  </si>
  <si>
    <t>CONTRACTUAL SERVICES</t>
  </si>
  <si>
    <t>5410-324</t>
  </si>
  <si>
    <t>6402</t>
  </si>
  <si>
    <t>6402.1</t>
  </si>
  <si>
    <t>HEATING FUEL-RINK</t>
  </si>
  <si>
    <t>LEPC COMPUTER EQUIPMENT</t>
  </si>
  <si>
    <t>58XX</t>
  </si>
  <si>
    <t>5220-150</t>
  </si>
  <si>
    <t>5749</t>
  </si>
  <si>
    <t>GAS HEAT</t>
  </si>
  <si>
    <t>5450-324</t>
  </si>
  <si>
    <t>6403</t>
  </si>
  <si>
    <t>CUSTODIAL SUPPLIES</t>
  </si>
  <si>
    <t>6403.1</t>
  </si>
  <si>
    <t>CUSTODIAL SUPPLIES-SR. CENTER</t>
  </si>
  <si>
    <t>5430-670</t>
  </si>
  <si>
    <t>6907</t>
  </si>
  <si>
    <t>BUILDING MAINT. SUPPLIES</t>
  </si>
  <si>
    <t>6894.1</t>
  </si>
  <si>
    <t>5481-670</t>
  </si>
  <si>
    <t>6912</t>
  </si>
  <si>
    <t>LEADED GASOLINE</t>
  </si>
  <si>
    <t>UNLEADED GASOLINE</t>
  </si>
  <si>
    <t>DIESEL FUEL</t>
  </si>
  <si>
    <t>MAINTENANCE OF VEHICLES</t>
  </si>
  <si>
    <t>5711-670</t>
  </si>
  <si>
    <t>6916</t>
  </si>
  <si>
    <t>6919</t>
  </si>
  <si>
    <t>TOTAL BUILDINGS</t>
  </si>
  <si>
    <t>ELECTRICITY - GROUNDS</t>
  </si>
  <si>
    <t>WATER - GROUNDS</t>
  </si>
  <si>
    <t>FIELD  MAINTENANCE</t>
  </si>
  <si>
    <t>REPAIR SERVICE - GROUNDS</t>
  </si>
  <si>
    <t>HEATING FUEL - GROUNDS</t>
  </si>
  <si>
    <t>GROUND SUPPLIES</t>
  </si>
  <si>
    <t>POOL SUPPLIES</t>
  </si>
  <si>
    <t>SKATING RINK SUPPLIES</t>
  </si>
  <si>
    <t>FUEL-GASOLINE</t>
  </si>
  <si>
    <t>FUEL-DIESEL</t>
  </si>
  <si>
    <t>Relocation costs are unknown at this time but could be funded from a bond issue.</t>
  </si>
  <si>
    <t>CEMETERY MAINTENANCE</t>
  </si>
  <si>
    <t>5111-350</t>
  </si>
  <si>
    <t>6408</t>
  </si>
  <si>
    <t>5120-350</t>
  </si>
  <si>
    <t>6409</t>
  </si>
  <si>
    <t>PART TIME TEMPORARY</t>
  </si>
  <si>
    <t>5131-350</t>
  </si>
  <si>
    <t>6410</t>
  </si>
  <si>
    <t>5146-350</t>
  </si>
  <si>
    <t>6411</t>
  </si>
  <si>
    <t>5171-350</t>
  </si>
  <si>
    <t>6412</t>
  </si>
  <si>
    <t>5174-350</t>
  </si>
  <si>
    <t>6413</t>
  </si>
  <si>
    <t>5175-350</t>
  </si>
  <si>
    <t>6414</t>
  </si>
  <si>
    <t>5180-350</t>
  </si>
  <si>
    <t>6415</t>
  </si>
  <si>
    <t>5193-350</t>
  </si>
  <si>
    <t>6416</t>
  </si>
  <si>
    <t>5197-350</t>
  </si>
  <si>
    <t>6417</t>
  </si>
  <si>
    <t>5218-350</t>
  </si>
  <si>
    <t>6418</t>
  </si>
  <si>
    <t>5220-350</t>
  </si>
  <si>
    <t>6419</t>
  </si>
  <si>
    <t>GAS</t>
  </si>
  <si>
    <t>5230-350</t>
  </si>
  <si>
    <t>6420</t>
  </si>
  <si>
    <t>6420.1</t>
  </si>
  <si>
    <t>DATA INPUT SERVICES</t>
  </si>
  <si>
    <t>5240-350</t>
  </si>
  <si>
    <t>6421</t>
  </si>
  <si>
    <t>REP. &amp; MAINT.</t>
  </si>
  <si>
    <t>5341-350</t>
  </si>
  <si>
    <t>6422</t>
  </si>
  <si>
    <t>COMMUNICATION</t>
  </si>
  <si>
    <t>5410-350</t>
  </si>
  <si>
    <t>6423</t>
  </si>
  <si>
    <t>ENERGY SUPPLIES</t>
  </si>
  <si>
    <t>5420-350</t>
  </si>
  <si>
    <t>6424</t>
  </si>
  <si>
    <t>5450-350</t>
  </si>
  <si>
    <t>6425</t>
  </si>
  <si>
    <t>5460-350</t>
  </si>
  <si>
    <t>6426</t>
  </si>
  <si>
    <t>5481-350</t>
  </si>
  <si>
    <t>6427</t>
  </si>
  <si>
    <t>5482-350</t>
  </si>
  <si>
    <t>6428</t>
  </si>
  <si>
    <t>5483-350</t>
  </si>
  <si>
    <t>6429</t>
  </si>
  <si>
    <t>5484-350</t>
  </si>
  <si>
    <t>6430</t>
  </si>
  <si>
    <t>OIL/LUB.</t>
  </si>
  <si>
    <t>5488-350</t>
  </si>
  <si>
    <t>6431</t>
  </si>
  <si>
    <t>5580-350</t>
  </si>
  <si>
    <t>6432</t>
  </si>
  <si>
    <t>OTHER CLOTHING</t>
  </si>
  <si>
    <t>5711-350</t>
  </si>
  <si>
    <t>6433</t>
  </si>
  <si>
    <t>5730-350</t>
  </si>
  <si>
    <t>6434</t>
  </si>
  <si>
    <t>DUES</t>
  </si>
  <si>
    <t>5877-350</t>
  </si>
  <si>
    <t>6435</t>
  </si>
  <si>
    <t>CEMETERY EQUIPMENT</t>
  </si>
  <si>
    <t>5870-350</t>
  </si>
  <si>
    <t>COMPUTER  SOFTWARE</t>
  </si>
  <si>
    <t>TOTAL CEMETERY MAINT.</t>
  </si>
  <si>
    <t>EMPLOYEE TRAINING</t>
  </si>
  <si>
    <t>FY2006</t>
  </si>
  <si>
    <t>EMT/EMD STIPENDS</t>
  </si>
  <si>
    <t>HEALTH ADMINISTRATION</t>
  </si>
  <si>
    <t>5111-520</t>
  </si>
  <si>
    <t>6589</t>
  </si>
  <si>
    <t>5112-520</t>
  </si>
  <si>
    <t>6589.3</t>
  </si>
  <si>
    <t>5120-520</t>
  </si>
  <si>
    <t>6590</t>
  </si>
  <si>
    <t>TEMP. WAGE</t>
  </si>
  <si>
    <t>6590.1</t>
  </si>
  <si>
    <t>5146-520</t>
  </si>
  <si>
    <t>5171-520</t>
  </si>
  <si>
    <t>6592</t>
  </si>
  <si>
    <t>5174-520</t>
  </si>
  <si>
    <t>6593</t>
  </si>
  <si>
    <t>5175-520</t>
  </si>
  <si>
    <t>6594</t>
  </si>
  <si>
    <t>5180-520</t>
  </si>
  <si>
    <t>6594.1</t>
  </si>
  <si>
    <t>6594.2</t>
  </si>
  <si>
    <t>5249-520</t>
  </si>
  <si>
    <t>6595</t>
  </si>
  <si>
    <t>5250-520</t>
  </si>
  <si>
    <t>6596</t>
  </si>
  <si>
    <t>DATA PROC. MAIN</t>
  </si>
  <si>
    <t>5301-520</t>
  </si>
  <si>
    <t>6597</t>
  </si>
  <si>
    <t>NURSING SERVICES</t>
  </si>
  <si>
    <t>5302-520</t>
  </si>
  <si>
    <t>6598</t>
  </si>
  <si>
    <t>FOOD INSPECTION SERVICES</t>
  </si>
  <si>
    <t>5306-520</t>
  </si>
  <si>
    <t>6599</t>
  </si>
  <si>
    <t>5316-520</t>
  </si>
  <si>
    <t>6600</t>
  </si>
  <si>
    <t>MENTAL HEALTH</t>
  </si>
  <si>
    <t>5319-520</t>
  </si>
  <si>
    <t>6601</t>
  </si>
  <si>
    <t>LABORATORY</t>
  </si>
  <si>
    <t>5320-520</t>
  </si>
  <si>
    <t>6602</t>
  </si>
  <si>
    <t>5343-520</t>
  </si>
  <si>
    <t>6603</t>
  </si>
  <si>
    <t>5344-250</t>
  </si>
  <si>
    <t>6603.1</t>
  </si>
  <si>
    <t>RODENT CONTROL</t>
  </si>
  <si>
    <t>5420-520</t>
  </si>
  <si>
    <t>6604</t>
  </si>
  <si>
    <t>OFFICE/EQUIPMENT SUPPLIES</t>
  </si>
  <si>
    <t>5480-520</t>
  </si>
  <si>
    <t>6605</t>
  </si>
  <si>
    <t>5500-520</t>
  </si>
  <si>
    <t>6606</t>
  </si>
  <si>
    <t>5710-520</t>
  </si>
  <si>
    <t>6607</t>
  </si>
  <si>
    <t>5730-520</t>
  </si>
  <si>
    <t>6608</t>
  </si>
  <si>
    <t xml:space="preserve">TOTAL HEALTH </t>
  </si>
  <si>
    <t>ANIMAL CONTROL</t>
  </si>
  <si>
    <t>5132-521</t>
  </si>
  <si>
    <t>6630</t>
  </si>
  <si>
    <t>6630.2</t>
  </si>
  <si>
    <t>5175-521</t>
  </si>
  <si>
    <t>6630.4</t>
  </si>
  <si>
    <t>5180-521</t>
  </si>
  <si>
    <t>6630.5</t>
  </si>
  <si>
    <t>6630.6</t>
  </si>
  <si>
    <t>5193-521</t>
  </si>
  <si>
    <t>6630.7</t>
  </si>
  <si>
    <t>5246-521</t>
  </si>
  <si>
    <t>EQUIPMENT REPAIR</t>
  </si>
  <si>
    <t>SOFTWARE LICENSES</t>
  </si>
  <si>
    <t>SUPPORT EXPENSES</t>
  </si>
  <si>
    <t>HARDWARE SUPPLIES</t>
  </si>
  <si>
    <t>SOFTWARE SUPPLIES</t>
  </si>
  <si>
    <t>TECH OFFICE SUPPLIES</t>
  </si>
  <si>
    <t>STAFF DEVELOPMENT</t>
  </si>
  <si>
    <t>SUBSCRIPTIONS &amp; DUES</t>
  </si>
  <si>
    <t>OFFICE EQUIPMENT - REVAL</t>
  </si>
  <si>
    <t>REPAIR &amp; MAINT OF VEHICLES</t>
  </si>
  <si>
    <t>MEDICAL/PSYCH EXAMS</t>
  </si>
  <si>
    <t>EMPLOYEE TRAINING LETN</t>
  </si>
  <si>
    <t>HEATING OIL #2</t>
  </si>
  <si>
    <t>REPAIR &amp; MAINT POLICE EQUIP</t>
  </si>
  <si>
    <t>TELEPHONE/TELETYPE</t>
  </si>
  <si>
    <t>REPAIR &amp; MAINT RADIO EQUIPMENT</t>
  </si>
  <si>
    <t>REPAIR &amp; MAINT OFFICE EQUIP</t>
  </si>
  <si>
    <t>PHOTOCOPIER LEASE &amp; REPAIR</t>
  </si>
  <si>
    <t>REPAIR &amp; MAINT VEHICLES</t>
  </si>
  <si>
    <t>REPAIR &amp; MAINT AUDIO/VISUAL EQUIP</t>
  </si>
  <si>
    <t>REPAIR &amp; MAINT POLICE EQUIPMENT</t>
  </si>
  <si>
    <t>MED./DENTAL</t>
  </si>
  <si>
    <t>UNIFORM/CLOTHING</t>
  </si>
  <si>
    <t>CRIME PREVENTION SUPPLIES</t>
  </si>
  <si>
    <t>POLICE EQUIPMENT</t>
  </si>
  <si>
    <t>REPAIR &amp; MAINT PARKING METER</t>
  </si>
  <si>
    <t>HAZARDOUS MATERIALS STIPEND</t>
  </si>
  <si>
    <t>SERVICES</t>
  </si>
  <si>
    <t>FY08 REDUCED</t>
  </si>
  <si>
    <t>FY08 LEVEL</t>
  </si>
  <si>
    <t>FY08</t>
  </si>
  <si>
    <t>UNIFORM MAINT ALLOWANCE</t>
  </si>
  <si>
    <t xml:space="preserve">FIREFIGHTER  SUPPLIES </t>
  </si>
  <si>
    <t>ENGIN/DRAFTING SUPPLIES</t>
  </si>
  <si>
    <t>TOTAL STREET LIGHTING</t>
  </si>
  <si>
    <t>PARKS &amp; FACILITIES</t>
  </si>
  <si>
    <t xml:space="preserve">LONGEVITY </t>
  </si>
  <si>
    <t>TELEPHONE SERVICES</t>
  </si>
  <si>
    <t>TOTAL PARKS &amp; FACILITIES</t>
  </si>
  <si>
    <t>CUSTODIAL HOUSEKEEPING SUPPLIES</t>
  </si>
  <si>
    <t>GROUNDSKEEPING SUPPLIES</t>
  </si>
  <si>
    <t>HAZARDOUS. WASTE COL. DAY</t>
  </si>
  <si>
    <t>MAINT VEHICLE ANIMAL CONTROL OFFICER.</t>
  </si>
  <si>
    <t>POUND CHARGES ANIMAL CONTROL OFFICER.</t>
  </si>
  <si>
    <t>CLOTHING ALLOW. ANIMAL CONTROL OFFICER.</t>
  </si>
  <si>
    <t>DUES/MEMBERSHIPS</t>
  </si>
  <si>
    <t>TRAINING</t>
  </si>
  <si>
    <t>xxx</t>
  </si>
  <si>
    <t>SYNTHETIC FIELD MAINT</t>
  </si>
  <si>
    <t>RINK HOT WATER STORAGE</t>
  </si>
  <si>
    <t>COMMUNICATIONS SERVICES</t>
  </si>
  <si>
    <t>HARDWARE MISC SUPPL/FIAGS</t>
  </si>
  <si>
    <t>XX</t>
  </si>
  <si>
    <t>EMS TRAINING</t>
  </si>
  <si>
    <t>capital budget</t>
  </si>
  <si>
    <t>ASSOCIATION CONFERENCE DUES</t>
  </si>
  <si>
    <t>ADVERTISING &amp; PUBLIC RELATIONS</t>
  </si>
  <si>
    <t>CREDIT CARD FEES</t>
  </si>
  <si>
    <t>REC PROGRAM FEES</t>
  </si>
  <si>
    <t>SPORT TRAVEL ALLOWANCE</t>
  </si>
  <si>
    <t>BOND-RENOV BURBANK W B (R)</t>
  </si>
  <si>
    <t>TOTAL PRINCIPAL</t>
  </si>
  <si>
    <t>BOND-REN BURBANK WB INTEREST (R)</t>
  </si>
  <si>
    <t>SCHOOL ATHLETIC FIELDS INTEREST</t>
  </si>
  <si>
    <t xml:space="preserve">SCHOOL TECH GO INTEREST </t>
  </si>
  <si>
    <t>TOWN HALL ANNEX &amp; PLAN GO INTEREST</t>
  </si>
  <si>
    <t>TOWN GO INTEREST</t>
  </si>
  <si>
    <t>INTEREST ON TEMP BORROWING</t>
  </si>
  <si>
    <t>TOTAL INTEREST ON DEBT</t>
  </si>
  <si>
    <t>30-6974.01</t>
  </si>
  <si>
    <t>30-6974.02</t>
  </si>
  <si>
    <t>30-6974.03</t>
  </si>
  <si>
    <t>30-6974.04</t>
  </si>
  <si>
    <t>30-6974.05</t>
  </si>
  <si>
    <t>30-6974.06</t>
  </si>
  <si>
    <t>30-6974.07</t>
  </si>
  <si>
    <t>30-6974.08</t>
  </si>
  <si>
    <t>30-6974.09</t>
  </si>
  <si>
    <t>30-6974.1</t>
  </si>
  <si>
    <t>30-6974.11</t>
  </si>
  <si>
    <t>30-6974.12</t>
  </si>
  <si>
    <t>30-6974.13</t>
  </si>
  <si>
    <t>30-6974.14</t>
  </si>
  <si>
    <t>30-6974.15</t>
  </si>
  <si>
    <t>30-6974.16</t>
  </si>
  <si>
    <t>30-6974.17</t>
  </si>
  <si>
    <t>30-6974.18</t>
  </si>
  <si>
    <t>30-6974.19</t>
  </si>
  <si>
    <t>30-6974.2</t>
  </si>
  <si>
    <t>30-6974.21</t>
  </si>
  <si>
    <t>30-6974.22</t>
  </si>
  <si>
    <t>30-6974.23</t>
  </si>
  <si>
    <t>House 1</t>
  </si>
  <si>
    <t>30-6974.25</t>
  </si>
  <si>
    <t>DESIGN HIGH SCHOOL</t>
  </si>
  <si>
    <t>1-6974.24</t>
  </si>
  <si>
    <t>BURBANK SCHOOL HAZ MAT CLEANUP</t>
  </si>
  <si>
    <t>30-6975.01</t>
  </si>
  <si>
    <t>REPLACE 2 POLICE CRUISERS</t>
  </si>
  <si>
    <t>30-6975.02</t>
  </si>
  <si>
    <t>E-911 DISPATCH CENTER - UPGRADE COMPUTER</t>
  </si>
  <si>
    <t>30-6975.03</t>
  </si>
  <si>
    <t>BURBANK SC-CONVERT HEATING TO GAS</t>
  </si>
  <si>
    <t>30-6975.04</t>
  </si>
  <si>
    <t>BURBANK &amp; WINNBROOK REPAIR WINDOW BALANCES</t>
  </si>
  <si>
    <t>30-6975.05</t>
  </si>
  <si>
    <t>REPLACE BHS &amp; CMS COMPUTER LABS &amp; EXPAND CITRIX SERVER</t>
  </si>
  <si>
    <t>30-6975.06</t>
  </si>
  <si>
    <t>BHS - REPLACE EMERGENCY GENERATOR</t>
  </si>
  <si>
    <t>30-6975.07</t>
  </si>
  <si>
    <t>BHS - REPLACE POOL FILTRATION SYSTEM</t>
  </si>
  <si>
    <t>30-6975.08</t>
  </si>
  <si>
    <t>IT - REPACE &amp; UPGRADE TOWN/SCH NETWORK</t>
  </si>
  <si>
    <t>30-6975.09</t>
  </si>
  <si>
    <t>IT - CONTINUE TOWN REPLACEMENT PROGRAM</t>
  </si>
  <si>
    <t>30-6975.10</t>
  </si>
  <si>
    <t>30-6975.11</t>
  </si>
  <si>
    <t>HWY - REPLACE MATL SPREADER &amp; DUMP BODY</t>
  </si>
  <si>
    <t>30-6975.12</t>
  </si>
  <si>
    <t>30-6975.13</t>
  </si>
  <si>
    <t>SALE OF CEMETERY LOTS</t>
  </si>
  <si>
    <t>SYNTHETIC TURF SWEEPER - HS</t>
  </si>
  <si>
    <t>FY07</t>
  </si>
  <si>
    <t>PARKS - REPLACE DUMP TRUCK</t>
  </si>
  <si>
    <t>30-6975-14</t>
  </si>
  <si>
    <t>REPAIR JOEY'S PARK</t>
  </si>
  <si>
    <t>30-6975.15</t>
  </si>
  <si>
    <t>30-6975.16</t>
  </si>
  <si>
    <t>30-6975.17</t>
  </si>
  <si>
    <t>LIBRARY - REPAIR FRONT STAIRS</t>
  </si>
  <si>
    <t>30-6975.18</t>
  </si>
  <si>
    <t>ACO - REPLACE VAN</t>
  </si>
  <si>
    <t>30-6975.19</t>
  </si>
  <si>
    <t>LIBRARY - REPLACE &amp; ENCASE HYDRAULIC ELEVATOR CYLINDER</t>
  </si>
  <si>
    <t>30-6975.20</t>
  </si>
  <si>
    <t>LIBRARY - PAINT EXTERIOR &amp; RECAULK WINDOWS</t>
  </si>
  <si>
    <t>30-6975.21</t>
  </si>
  <si>
    <t>CLAFLIN STREET PARKING</t>
  </si>
  <si>
    <t>EMERGENCY MANAGE AGENCY (BEMA)</t>
  </si>
  <si>
    <t>PUBLIC WORKS ADMINISTRATION</t>
  </si>
  <si>
    <t>FY06 LEVEL</t>
  </si>
  <si>
    <t>FY04</t>
  </si>
  <si>
    <t>FY05 EST</t>
  </si>
  <si>
    <t>EXPENSE</t>
  </si>
  <si>
    <t>$ PROPOSED</t>
  </si>
  <si>
    <t xml:space="preserve"> FY 2004 </t>
  </si>
  <si>
    <t>FY2005</t>
  </si>
  <si>
    <t xml:space="preserve"> -   </t>
  </si>
  <si>
    <t>WATER SUMMARY</t>
  </si>
  <si>
    <t>WATER ENTERPRISE</t>
  </si>
  <si>
    <t>SEWER ENTERPRISE</t>
  </si>
  <si>
    <t>TOTAL GENERAL FUND REVENUES</t>
  </si>
  <si>
    <t xml:space="preserve">Planned use of Retained earnings to stabilize the rates &amp; GIS system </t>
  </si>
  <si>
    <t>Water Revenues</t>
  </si>
  <si>
    <t>Water Retained Earnings</t>
  </si>
  <si>
    <t>Sewer Revenues</t>
  </si>
  <si>
    <t>ENTERPRISE FUNDS &amp; CHAPTER 90</t>
  </si>
  <si>
    <t>EARNINGS ON INVESTMENTS</t>
  </si>
  <si>
    <t>FOR OPERATING COSTS</t>
  </si>
  <si>
    <t>PREMIUM ON SALE OF BONDS DECREASE DEBT EXCLUSION</t>
  </si>
  <si>
    <t xml:space="preserve">STABILIZATION FUND  </t>
  </si>
  <si>
    <t>TRANSFERS FROM ENTERPRISE FUNDS</t>
  </si>
  <si>
    <t>TRANS FROM SEWER FOR OPER COSTS</t>
  </si>
  <si>
    <t>CAPITAL FUNDING:</t>
  </si>
  <si>
    <t>HEALTH INSURANCE TRUST FUND</t>
  </si>
  <si>
    <t>CAPITAL ENDOWMENT FUND SPEC PROJ</t>
  </si>
  <si>
    <t>FY05 ONE TIME REVENUE</t>
  </si>
  <si>
    <t>TUITION ASSESSMENT REIMBURSEMENT</t>
  </si>
  <si>
    <t xml:space="preserve">FULL WAGES </t>
  </si>
  <si>
    <t>HWY - REPLACE/PURCH 4 SNOW PLOWS</t>
  </si>
  <si>
    <t>ENERGY CONS ASSOC CH700</t>
  </si>
  <si>
    <t>CHARTER SCHOOL REIMB</t>
  </si>
  <si>
    <t>MISC EXPENSES</t>
  </si>
  <si>
    <t>VOTED</t>
  </si>
  <si>
    <t>6631</t>
  </si>
  <si>
    <t>5349-521</t>
  </si>
  <si>
    <t>6632</t>
  </si>
  <si>
    <t>VETERINARIAN</t>
  </si>
  <si>
    <t>5350-521</t>
  </si>
  <si>
    <t>6633</t>
  </si>
  <si>
    <t>ANIMAL REMOVAL</t>
  </si>
  <si>
    <t>5383-521</t>
  </si>
  <si>
    <t>6634</t>
  </si>
  <si>
    <t>5384-521</t>
  </si>
  <si>
    <t>6635</t>
  </si>
  <si>
    <t>5429-521</t>
  </si>
  <si>
    <t>6636</t>
  </si>
  <si>
    <t>ANIMAL CONTROL EQUIP./SUPPLIES</t>
  </si>
  <si>
    <t>5481-521</t>
  </si>
  <si>
    <t>6637</t>
  </si>
  <si>
    <t>ANIMAL VEHICLE SUPPLIES</t>
  </si>
  <si>
    <t>5482-521</t>
  </si>
  <si>
    <t>6638</t>
  </si>
  <si>
    <t>ANIMAL VEHICLE GAS</t>
  </si>
  <si>
    <t>5710-521</t>
  </si>
  <si>
    <t>6639</t>
  </si>
  <si>
    <t>5730-521</t>
  </si>
  <si>
    <t>6640</t>
  </si>
  <si>
    <t>5801-521</t>
  </si>
  <si>
    <t>TOTAL ANIMAL CONTROL</t>
  </si>
  <si>
    <t>5318-522</t>
  </si>
  <si>
    <t>6662</t>
  </si>
  <si>
    <t>MOSQUITO CONTROL ASSESSMENT</t>
  </si>
  <si>
    <t>COUNCIL ON AGING</t>
  </si>
  <si>
    <t>5111-540</t>
  </si>
  <si>
    <t>6685</t>
  </si>
  <si>
    <t>5112-540</t>
  </si>
  <si>
    <t>6686</t>
  </si>
  <si>
    <t>5171-540</t>
  </si>
  <si>
    <t>6687</t>
  </si>
  <si>
    <t>5174-540</t>
  </si>
  <si>
    <t>6688</t>
  </si>
  <si>
    <t>5175-540</t>
  </si>
  <si>
    <t>6689</t>
  </si>
  <si>
    <t>5180-540</t>
  </si>
  <si>
    <t>6690</t>
  </si>
  <si>
    <t>5246-540</t>
  </si>
  <si>
    <t>6691</t>
  </si>
  <si>
    <t>VEHICLES REP &amp; MAINT</t>
  </si>
  <si>
    <t>5271-540</t>
  </si>
  <si>
    <t>6692</t>
  </si>
  <si>
    <t>RENTAL OF BUILDINGS</t>
  </si>
  <si>
    <t>5300-540</t>
  </si>
  <si>
    <t>6693</t>
  </si>
  <si>
    <t>PROF. SERVICES/TAX INCENTIVE PROGRAM</t>
  </si>
  <si>
    <t>5343-540</t>
  </si>
  <si>
    <t>6694</t>
  </si>
  <si>
    <t>5344-540</t>
  </si>
  <si>
    <t>6695</t>
  </si>
  <si>
    <t>5358-540</t>
  </si>
  <si>
    <t>6696</t>
  </si>
  <si>
    <t>PROGRAMS</t>
  </si>
  <si>
    <t>5389-540</t>
  </si>
  <si>
    <t>6697</t>
  </si>
  <si>
    <t>WSES/PROF SERVICES</t>
  </si>
  <si>
    <t>5420-540</t>
  </si>
  <si>
    <t>6698</t>
  </si>
  <si>
    <t>5586-540</t>
  </si>
  <si>
    <t>6699</t>
  </si>
  <si>
    <t>BOOKS &amp; PUBLICATION</t>
  </si>
  <si>
    <t>5710-540</t>
  </si>
  <si>
    <t>6700</t>
  </si>
  <si>
    <t>5730-540</t>
  </si>
  <si>
    <t>6701</t>
  </si>
  <si>
    <t>6703</t>
  </si>
  <si>
    <t>TOTAL COUNCIL ON AGING</t>
  </si>
  <si>
    <t>VETERANS SERVICE</t>
  </si>
  <si>
    <t>5111-560</t>
  </si>
  <si>
    <t>6710</t>
  </si>
  <si>
    <t>6723</t>
  </si>
  <si>
    <t>PROFESSIONAL/TECHNICAL</t>
  </si>
  <si>
    <t>5420-560</t>
  </si>
  <si>
    <t>6724</t>
  </si>
  <si>
    <t>5586-560</t>
  </si>
  <si>
    <t>6725</t>
  </si>
  <si>
    <t>MAGAZINES &amp; PERIODICALS</t>
  </si>
  <si>
    <t>5710-560</t>
  </si>
  <si>
    <t>6726</t>
  </si>
  <si>
    <t>5730-560</t>
  </si>
  <si>
    <t>6727</t>
  </si>
  <si>
    <t>5771-560</t>
  </si>
  <si>
    <t>6728</t>
  </si>
  <si>
    <t>RECIPIENTS</t>
  </si>
  <si>
    <t>5772-560</t>
  </si>
  <si>
    <t>6729</t>
  </si>
  <si>
    <t>U.S. FLAGS</t>
  </si>
  <si>
    <t>5773-560</t>
  </si>
  <si>
    <t>6730</t>
  </si>
  <si>
    <t>GRAVE MARKERS</t>
  </si>
  <si>
    <t>GROUNDS KEEPING</t>
  </si>
  <si>
    <t>TOTAL VETERANS SERVICE</t>
  </si>
  <si>
    <t>YOUTH COMMISSION</t>
  </si>
  <si>
    <t>FY 2003</t>
  </si>
  <si>
    <t>WELLINGTON BROOK GRATE</t>
  </si>
  <si>
    <t>FUND 30</t>
  </si>
  <si>
    <t>PART TIME SALARIES</t>
  </si>
  <si>
    <t xml:space="preserve">LIGHT DEPT BUSINESS SOFTWARE </t>
  </si>
  <si>
    <t xml:space="preserve">CEMETERY CONSTRUCTION </t>
  </si>
  <si>
    <t xml:space="preserve">BUSINESS SOFTWARE </t>
  </si>
  <si>
    <t>CEMETERY TEMP INTEREST</t>
  </si>
  <si>
    <t>LIGHT DEPT BUSINESS SOFTWARE</t>
  </si>
  <si>
    <t>OFFICE SERVICES</t>
  </si>
  <si>
    <t>OPERATING EXPENSES</t>
  </si>
  <si>
    <t>TEEN  PROGRAMS</t>
  </si>
  <si>
    <t>TOTAL EQUIPMENT</t>
  </si>
  <si>
    <t>TOTAL YOUTH COMMISSION</t>
  </si>
  <si>
    <t>TOTAL HUMAN SERVICES</t>
  </si>
  <si>
    <t>LIBRARY-ADMINISTRATION</t>
  </si>
  <si>
    <t>5111-610</t>
  </si>
  <si>
    <t>6753</t>
  </si>
  <si>
    <t>FULL TIME SAL.</t>
  </si>
  <si>
    <t>5112-610</t>
  </si>
  <si>
    <t>6754</t>
  </si>
  <si>
    <t>PART TIME SAL.</t>
  </si>
  <si>
    <t>5131-610</t>
  </si>
  <si>
    <t>6755</t>
  </si>
  <si>
    <t>5146-610</t>
  </si>
  <si>
    <t>6756</t>
  </si>
  <si>
    <t>5171-610</t>
  </si>
  <si>
    <t>6757</t>
  </si>
  <si>
    <t>5174-610</t>
  </si>
  <si>
    <t>6758</t>
  </si>
  <si>
    <t>5175-610</t>
  </si>
  <si>
    <t>6759</t>
  </si>
  <si>
    <t>5180-610</t>
  </si>
  <si>
    <t>6760</t>
  </si>
  <si>
    <t>5193-610</t>
  </si>
  <si>
    <t>5218-610</t>
  </si>
  <si>
    <t>6761</t>
  </si>
  <si>
    <t xml:space="preserve">ELECTRICITY </t>
  </si>
  <si>
    <t>5220-610</t>
  </si>
  <si>
    <t>6762</t>
  </si>
  <si>
    <t>5231-610</t>
  </si>
  <si>
    <t>6763</t>
  </si>
  <si>
    <t>5240-610</t>
  </si>
  <si>
    <t>6764</t>
  </si>
  <si>
    <t>5241-610</t>
  </si>
  <si>
    <t>6765</t>
  </si>
  <si>
    <t>MAINT. GROUNDS</t>
  </si>
  <si>
    <t>5249-610</t>
  </si>
  <si>
    <t>6766</t>
  </si>
  <si>
    <t>5250-610</t>
  </si>
  <si>
    <t>6767</t>
  </si>
  <si>
    <t>6966.1</t>
  </si>
  <si>
    <t>6966.3</t>
  </si>
  <si>
    <t>6966.6</t>
  </si>
  <si>
    <t>6966.11</t>
  </si>
  <si>
    <t>6967.1</t>
  </si>
  <si>
    <t>6967.2</t>
  </si>
  <si>
    <t>6967.4</t>
  </si>
  <si>
    <t>6967.6</t>
  </si>
  <si>
    <t>6967.7</t>
  </si>
  <si>
    <t>6968.1</t>
  </si>
  <si>
    <t>6968.2</t>
  </si>
  <si>
    <t>6968.3</t>
  </si>
  <si>
    <t>6968.401</t>
  </si>
  <si>
    <t>6968.402</t>
  </si>
  <si>
    <t>6968.403</t>
  </si>
  <si>
    <t>6968.404</t>
  </si>
  <si>
    <t>6968.405</t>
  </si>
  <si>
    <t>6968.406</t>
  </si>
  <si>
    <t>6968.407</t>
  </si>
  <si>
    <t>6968.408</t>
  </si>
  <si>
    <t>6968.409</t>
  </si>
  <si>
    <t>6968.411</t>
  </si>
  <si>
    <t>6972.112</t>
  </si>
  <si>
    <t>6968.400</t>
  </si>
  <si>
    <t>6968.410</t>
  </si>
  <si>
    <t>6968.500</t>
  </si>
  <si>
    <t>6969.100</t>
  </si>
  <si>
    <t>6969.200</t>
  </si>
  <si>
    <t>6969.300</t>
  </si>
  <si>
    <t>6969.400</t>
  </si>
  <si>
    <t>Bonds</t>
  </si>
  <si>
    <t>Year</t>
  </si>
  <si>
    <t>Principal due</t>
  </si>
  <si>
    <t>Interest due</t>
  </si>
  <si>
    <t>P &amp; I</t>
  </si>
  <si>
    <t>Offsetting Rev.</t>
  </si>
  <si>
    <t>Offsetting Rev. Source</t>
  </si>
  <si>
    <t>Chenery Middle School</t>
  </si>
  <si>
    <t>9 of 19</t>
  </si>
  <si>
    <t xml:space="preserve"> Debt Exclusion &amp;</t>
  </si>
  <si>
    <t xml:space="preserve"> SBAB reimbursement </t>
  </si>
  <si>
    <t>MWRA Bond 3</t>
  </si>
  <si>
    <t>5 of 5</t>
  </si>
  <si>
    <t xml:space="preserve"> $             -   </t>
  </si>
  <si>
    <t xml:space="preserve"> Sewer receipts </t>
  </si>
  <si>
    <t>MWRA Bond 4</t>
  </si>
  <si>
    <t>1 of 10</t>
  </si>
  <si>
    <t xml:space="preserve"> $             -</t>
  </si>
  <si>
    <t xml:space="preserve"> Water receipts</t>
  </si>
  <si>
    <t>Title V loan (septic)</t>
  </si>
  <si>
    <t>4 of 22</t>
  </si>
  <si>
    <r>
      <t xml:space="preserve"> MWPAT</t>
    </r>
    <r>
      <rPr>
        <vertAlign val="superscript"/>
        <sz val="8"/>
        <rFont val="CG Times"/>
        <family val="0"/>
      </rPr>
      <t xml:space="preserve">2 </t>
    </r>
  </si>
  <si>
    <r>
      <t>GO Bonds</t>
    </r>
    <r>
      <rPr>
        <vertAlign val="superscript"/>
        <sz val="8"/>
        <rFont val="CG Times"/>
        <family val="0"/>
      </rPr>
      <t>1</t>
    </r>
  </si>
  <si>
    <t>4 of 15</t>
  </si>
  <si>
    <t xml:space="preserve"> $       108,15 </t>
  </si>
  <si>
    <t xml:space="preserve"> Municipal Light Dep't. </t>
  </si>
  <si>
    <t>BHS Athletic Field &amp; Track</t>
  </si>
  <si>
    <t xml:space="preserve">2 of 10 </t>
  </si>
  <si>
    <t xml:space="preserve"> Debt Exclusion </t>
  </si>
  <si>
    <t>Town Hall Complex</t>
  </si>
  <si>
    <t>2 of 20</t>
  </si>
  <si>
    <t xml:space="preserve"> Debt Exclusion</t>
  </si>
  <si>
    <t>Short-term borrowing</t>
  </si>
  <si>
    <t>annual</t>
  </si>
  <si>
    <t xml:space="preserve"> $           -</t>
  </si>
  <si>
    <t>Tax abatement</t>
  </si>
  <si>
    <t xml:space="preserve"> annual</t>
  </si>
  <si>
    <r>
      <t>BUDGETED AMOUNT</t>
    </r>
    <r>
      <rPr>
        <b/>
        <vertAlign val="superscript"/>
        <sz val="8"/>
        <rFont val="CG Times"/>
        <family val="0"/>
      </rPr>
      <t>3</t>
    </r>
  </si>
  <si>
    <t> $    1,289,508</t>
  </si>
  <si>
    <t>6969.500</t>
  </si>
  <si>
    <t>6969.600</t>
  </si>
  <si>
    <t>6969.700</t>
  </si>
  <si>
    <t>6969.800</t>
  </si>
  <si>
    <t>6969.900</t>
  </si>
  <si>
    <t>6969.110</t>
  </si>
  <si>
    <t>6969.120</t>
  </si>
  <si>
    <t>6969.130</t>
  </si>
  <si>
    <t>6969.140</t>
  </si>
  <si>
    <t>6969.150</t>
  </si>
  <si>
    <t>6969.160</t>
  </si>
  <si>
    <t>6969.170</t>
  </si>
  <si>
    <t>6969.180</t>
  </si>
  <si>
    <t>6969.190</t>
  </si>
  <si>
    <t>6969.210</t>
  </si>
  <si>
    <t>6969.220</t>
  </si>
  <si>
    <t>6970.100</t>
  </si>
  <si>
    <t>6970.200</t>
  </si>
  <si>
    <t>6970.400</t>
  </si>
  <si>
    <t>6970.500</t>
  </si>
  <si>
    <t>6970.600</t>
  </si>
  <si>
    <t>6970.700</t>
  </si>
  <si>
    <t>6970.800</t>
  </si>
  <si>
    <t>6970.900</t>
  </si>
  <si>
    <t>6970.110</t>
  </si>
  <si>
    <t>6970.120</t>
  </si>
  <si>
    <t>6970.130</t>
  </si>
  <si>
    <t>6970.140</t>
  </si>
  <si>
    <t>6970.150</t>
  </si>
  <si>
    <t>6970.160</t>
  </si>
  <si>
    <t>6970.180</t>
  </si>
  <si>
    <t>6971.100</t>
  </si>
  <si>
    <t>6971.200</t>
  </si>
  <si>
    <t>6971.300</t>
  </si>
  <si>
    <t>6971.500</t>
  </si>
  <si>
    <t>6971.600</t>
  </si>
  <si>
    <t>6971.700</t>
  </si>
  <si>
    <t>6971.900</t>
  </si>
  <si>
    <t>6972.110</t>
  </si>
  <si>
    <t>6972.200</t>
  </si>
  <si>
    <t>6972.300</t>
  </si>
  <si>
    <t>6972.400</t>
  </si>
  <si>
    <t>6972.500</t>
  </si>
  <si>
    <t>6972.600</t>
  </si>
  <si>
    <t>6972.700</t>
  </si>
  <si>
    <t>6972.800</t>
  </si>
  <si>
    <t>6972.900</t>
  </si>
  <si>
    <t>WELLINGTON SCHOOL CHIMNEY</t>
  </si>
  <si>
    <t>6971.400</t>
  </si>
  <si>
    <t>CEMETERY GARAGE HEATING SYS</t>
  </si>
  <si>
    <t>6972.100</t>
  </si>
  <si>
    <t>BHS TRACK &amp; FIELD CONTR.</t>
  </si>
  <si>
    <t>6972.113</t>
  </si>
  <si>
    <t>MAJOR CAP PROJ. STUDIES</t>
  </si>
  <si>
    <t>6972.114</t>
  </si>
  <si>
    <t>6972.115</t>
  </si>
  <si>
    <t>MAINT. LIBRARY EQUIP.</t>
  </si>
  <si>
    <t>5301-610</t>
  </si>
  <si>
    <t>6768</t>
  </si>
  <si>
    <t>MEDICAL REP. &amp; BILLS</t>
  </si>
  <si>
    <t>5314-610</t>
  </si>
  <si>
    <t>6769</t>
  </si>
  <si>
    <t>5317-610</t>
  </si>
  <si>
    <t>6770</t>
  </si>
  <si>
    <t>5342-610</t>
  </si>
  <si>
    <t>6771</t>
  </si>
  <si>
    <t>5344-610</t>
  </si>
  <si>
    <t>6772</t>
  </si>
  <si>
    <t>5420-610</t>
  </si>
  <si>
    <t>6773</t>
  </si>
  <si>
    <t>5451-610</t>
  </si>
  <si>
    <t>6774</t>
  </si>
  <si>
    <t>CUSTODIAL SUPP.</t>
  </si>
  <si>
    <t>5482-610</t>
  </si>
  <si>
    <t>6775</t>
  </si>
  <si>
    <t>5488-610</t>
  </si>
  <si>
    <t>6776</t>
  </si>
  <si>
    <t>REPAIRS &amp; MAINTENANCE</t>
  </si>
  <si>
    <t>5710-610</t>
  </si>
  <si>
    <t>6777</t>
  </si>
  <si>
    <t>5730-610</t>
  </si>
  <si>
    <t>6778</t>
  </si>
  <si>
    <t>TOTAL LIBRARY ADMIN.</t>
  </si>
  <si>
    <t>LIBRARY - PUBLIC SERVICES</t>
  </si>
  <si>
    <t>5111-620</t>
  </si>
  <si>
    <t>6800</t>
  </si>
  <si>
    <t>5112-620</t>
  </si>
  <si>
    <t>6801</t>
  </si>
  <si>
    <t>5131-620</t>
  </si>
  <si>
    <t>6802</t>
  </si>
  <si>
    <t>5146-620</t>
  </si>
  <si>
    <t>6803</t>
  </si>
  <si>
    <t>5171-620</t>
  </si>
  <si>
    <t>6804</t>
  </si>
  <si>
    <t>5174-620</t>
  </si>
  <si>
    <t>6805</t>
  </si>
  <si>
    <t>5175-620</t>
  </si>
  <si>
    <t>6806</t>
  </si>
  <si>
    <t>5180-620</t>
  </si>
  <si>
    <t>6807</t>
  </si>
  <si>
    <t>5300-620</t>
  </si>
  <si>
    <t>6808</t>
  </si>
  <si>
    <t>PROF.SERVICES</t>
  </si>
  <si>
    <t>5341-620</t>
  </si>
  <si>
    <t>6809</t>
  </si>
  <si>
    <t>5521-620</t>
  </si>
  <si>
    <t>6810</t>
  </si>
  <si>
    <t>BOOK/PER/FILM/CD/REC</t>
  </si>
  <si>
    <t>5730-620</t>
  </si>
  <si>
    <t>6811</t>
  </si>
  <si>
    <t>TOTAL LIBRARY - PUBLIC SERVICES</t>
  </si>
  <si>
    <t>LIBRARY - TECHNICAL SERVICES</t>
  </si>
  <si>
    <t>5111-630</t>
  </si>
  <si>
    <t>6833</t>
  </si>
  <si>
    <t>5112-630</t>
  </si>
  <si>
    <t>6834</t>
  </si>
  <si>
    <t>5146-630</t>
  </si>
  <si>
    <t>6835</t>
  </si>
  <si>
    <t>5171-630</t>
  </si>
  <si>
    <t>6836</t>
  </si>
  <si>
    <t>5174-630</t>
  </si>
  <si>
    <t>6837</t>
  </si>
  <si>
    <t>5175-630</t>
  </si>
  <si>
    <t>6838</t>
  </si>
  <si>
    <t>5180-630</t>
  </si>
  <si>
    <t>6839</t>
  </si>
  <si>
    <t>5251-630</t>
  </si>
  <si>
    <t>6840</t>
  </si>
  <si>
    <t>5313-630</t>
  </si>
  <si>
    <t>6841</t>
  </si>
  <si>
    <t>5421-630</t>
  </si>
  <si>
    <t>6842</t>
  </si>
  <si>
    <t>PROCESSING SUPPLIES</t>
  </si>
  <si>
    <t>5730-630</t>
  </si>
  <si>
    <t>6843</t>
  </si>
  <si>
    <t>PROGRAMS (FY04 change) *</t>
  </si>
  <si>
    <t>COPY MACHINE LEASE</t>
  </si>
  <si>
    <t>5874-630</t>
  </si>
  <si>
    <t>TOTAL LIBRARY - TECHNICAL SERVICES</t>
  </si>
  <si>
    <t>TOTAL LIBRARY</t>
  </si>
  <si>
    <t>RECREATION ADMINISTRATION</t>
  </si>
  <si>
    <t>5111-650</t>
  </si>
  <si>
    <t>6866</t>
  </si>
  <si>
    <t>5146-650</t>
  </si>
  <si>
    <t>6867</t>
  </si>
  <si>
    <t>5171-650</t>
  </si>
  <si>
    <t>5174-650</t>
  </si>
  <si>
    <t>6869</t>
  </si>
  <si>
    <t>5175-650</t>
  </si>
  <si>
    <t>6870</t>
  </si>
  <si>
    <t>5180-650</t>
  </si>
  <si>
    <t>6870.1</t>
  </si>
  <si>
    <t>5249-650</t>
  </si>
  <si>
    <t>6871</t>
  </si>
  <si>
    <t>5420-650</t>
  </si>
  <si>
    <t>6872</t>
  </si>
  <si>
    <t>5482-650</t>
  </si>
  <si>
    <t>6873</t>
  </si>
  <si>
    <t>5488-650</t>
  </si>
  <si>
    <t>6874</t>
  </si>
  <si>
    <t>MAINTENANCE VEHICLE</t>
  </si>
  <si>
    <t>5711-650</t>
  </si>
  <si>
    <t>6875</t>
  </si>
  <si>
    <t>5731-650</t>
  </si>
  <si>
    <t>6876</t>
  </si>
  <si>
    <t>6878</t>
  </si>
  <si>
    <t>TOTAL RECREATION ADMIN</t>
  </si>
  <si>
    <t>6878.5</t>
  </si>
  <si>
    <t>6877</t>
  </si>
  <si>
    <t>S.P.O.R.T-TOWN SUPPORT</t>
  </si>
  <si>
    <t>6879</t>
  </si>
  <si>
    <t>SPRING PROGRAMS</t>
  </si>
  <si>
    <t>6880</t>
  </si>
  <si>
    <t>SUMMER PROGRAMS</t>
  </si>
  <si>
    <t>6881</t>
  </si>
  <si>
    <t>FALL &amp; WINTER PROGRAMS</t>
  </si>
  <si>
    <t>6882</t>
  </si>
  <si>
    <t>SKATING RINK SALARIES</t>
  </si>
  <si>
    <t>6883</t>
  </si>
  <si>
    <t>ATHLETIC CAMPS/KIDS CAMPS</t>
  </si>
  <si>
    <t>6884</t>
  </si>
  <si>
    <t>6885</t>
  </si>
  <si>
    <t>6886</t>
  </si>
  <si>
    <t>ELECTRICITY:  RINK</t>
  </si>
  <si>
    <t>WATER:  POOL &amp; IRRIGATION</t>
  </si>
  <si>
    <t>WATER:  RINK</t>
  </si>
  <si>
    <t>6888.2</t>
  </si>
  <si>
    <t>SENIOR CITIZENS PROGRAMS</t>
  </si>
  <si>
    <t>TEEN ACTIVITIES</t>
  </si>
  <si>
    <t>6889</t>
  </si>
  <si>
    <t>BUILDING RENTALS</t>
  </si>
  <si>
    <t>CUSTODIAL SERVICES</t>
  </si>
  <si>
    <t>6892</t>
  </si>
  <si>
    <t>6892.1</t>
  </si>
  <si>
    <t>PAYSON PARK MUSIC FESTIVAL</t>
  </si>
  <si>
    <t>6892.2</t>
  </si>
  <si>
    <t>NEW PROGRAMS</t>
  </si>
  <si>
    <t>6893</t>
  </si>
  <si>
    <t>6894</t>
  </si>
  <si>
    <t>SUPPLIES:  PROGRAM</t>
  </si>
  <si>
    <t>6896</t>
  </si>
  <si>
    <t>TROPHIES &amp; AWARDS</t>
  </si>
  <si>
    <t>6897</t>
  </si>
  <si>
    <t>6897.1</t>
  </si>
  <si>
    <t>TOTAL RECREATION PROGRAM</t>
  </si>
  <si>
    <t>TOTAL RECREATION</t>
  </si>
  <si>
    <t>TOTAL CULTURE &amp; RECREATION</t>
  </si>
  <si>
    <t>SPORT NON SALARY EXPENSES</t>
  </si>
  <si>
    <t>COPIER MAINT AGREEMENT</t>
  </si>
  <si>
    <t>DEBT &amp; INTEREST</t>
  </si>
  <si>
    <t>5911-705</t>
  </si>
  <si>
    <t>5921-730</t>
  </si>
  <si>
    <t>LEASE PURCHASE</t>
  </si>
  <si>
    <t>6944</t>
  </si>
  <si>
    <t>NESWC SETTLEMENT</t>
  </si>
  <si>
    <t>OTHER CAPITAL PROJECTS</t>
  </si>
  <si>
    <t>LIGHT DEPT. BUILDING FACILITY</t>
  </si>
  <si>
    <t>5921-710</t>
  </si>
  <si>
    <t>6941</t>
  </si>
  <si>
    <t>CHENERY MIDDLE SCHOOL INTEREST</t>
  </si>
  <si>
    <t>5922-735</t>
  </si>
  <si>
    <t>TAX ABATE INTEREST</t>
  </si>
  <si>
    <t>]</t>
  </si>
  <si>
    <t>TOTAL DEBT &amp; INTEREST</t>
  </si>
  <si>
    <t>CAPITAL BUDGET</t>
  </si>
  <si>
    <t>5890-900</t>
  </si>
  <si>
    <t>6966</t>
  </si>
  <si>
    <t>CAPITAL BUDGET, TOWN</t>
  </si>
  <si>
    <t>PAVEMENT MANAGEMENT</t>
  </si>
  <si>
    <t>STREET SWEEPER</t>
  </si>
  <si>
    <t>PAVEMENT MGMT - POLICE DT</t>
  </si>
  <si>
    <t>XXX</t>
  </si>
  <si>
    <t>REPLACE POLICE MOBILE DATA TERMINALS</t>
  </si>
  <si>
    <t>REPLACE FIRE SHIFT COMMANDER VEHICLE</t>
  </si>
  <si>
    <t>REPLACE HS EXHAUST FANS</t>
  </si>
  <si>
    <t>ELEMENTARY WINDOW REPAIRS</t>
  </si>
  <si>
    <t>REPLACE SCHOOL TRUCK &amp; ADD PLOW</t>
  </si>
  <si>
    <t>RETUBE THREE HS BOILERS</t>
  </si>
  <si>
    <t>GIS ENGINEERING AND HARDWARE</t>
  </si>
  <si>
    <t>UPGRADE SCH/TOWN FIBER OPTIC NETWORK INFRASTRUCTURE</t>
  </si>
  <si>
    <t>TOWN DEPTS TECHNOLOGY HARDWARE</t>
  </si>
  <si>
    <t>REPLACE TWO HIGHWAY PICKUP TRUCKS</t>
  </si>
  <si>
    <t>FEASIBILITY STUDY OF NEW HWY DEPT COMPLEX</t>
  </si>
  <si>
    <t>REPLACE FACILITIES TRUCK &amp; ADD PLOW</t>
  </si>
  <si>
    <t>FACILITY &amp; LIFE SAFETY REPAIR PROGRAM</t>
  </si>
  <si>
    <t>ANALYSIS &amp; RECOMMENDATION - LIBRARY STEPS</t>
  </si>
  <si>
    <t>FIRE STATIONS 6/04</t>
  </si>
  <si>
    <t>FIRE STATIONS 6/06</t>
  </si>
  <si>
    <t>FIRE STATIONS INTEREST 6/04</t>
  </si>
  <si>
    <t>FIRE STATIONS INTEREST 6/06</t>
  </si>
  <si>
    <t>SENIOR CENTER 6/06</t>
  </si>
  <si>
    <t>COMM TOWER 6/06</t>
  </si>
  <si>
    <t>CONCORD AVE LAND 6/06</t>
  </si>
  <si>
    <t>SKATING RINK 6/06</t>
  </si>
  <si>
    <t>SENIOR CENTER INT 6/06</t>
  </si>
  <si>
    <t>COMM TOWER INT 6/06</t>
  </si>
  <si>
    <t>CONCORD AVE LAND INT 6/06</t>
  </si>
  <si>
    <t>SKATING RINK INT 6/06</t>
  </si>
  <si>
    <t>BUSINESS SOFTWARE INT 6/06</t>
  </si>
  <si>
    <t>REPLACE SPORT PROGRAM VAN</t>
  </si>
  <si>
    <t>REPLACE LIBRARY LAN BASED PC WORKSTATIONS</t>
  </si>
  <si>
    <t>ENVIRONMENTAL ANALYSIS OF TRANSFER STATION SITE</t>
  </si>
  <si>
    <t>KENDALL SITE FIELDWORK</t>
  </si>
  <si>
    <t>EMERGENCY FIRE STATION REPAIRS</t>
  </si>
  <si>
    <t>WAVERLEY FIRE STATION/BEMA RELOCATION</t>
  </si>
  <si>
    <t>5891-900</t>
  </si>
  <si>
    <t>6967</t>
  </si>
  <si>
    <t xml:space="preserve">CAPITAL BUDGET, ACCESS DISABILITY </t>
  </si>
  <si>
    <t>FY2008</t>
  </si>
  <si>
    <t>Revenue</t>
  </si>
  <si>
    <t>Expense-Level</t>
  </si>
  <si>
    <t>Over (short)</t>
  </si>
  <si>
    <t>missing property &amp; liab insurance</t>
  </si>
  <si>
    <t>VETERANS REIMB</t>
  </si>
  <si>
    <t>PROFESSIONAL SERVICES- HLTH INS ADVISOR</t>
  </si>
  <si>
    <t>EXTINGUISHER REFILL</t>
  </si>
  <si>
    <t>IT EQUIPMENT (from IT budget)</t>
  </si>
  <si>
    <t>*Please note, increases in FT wages ($30K), and IT Network support ($19K) are school costs shifted to the Town IT department  (FY08)</t>
  </si>
  <si>
    <t>PROFESSIONAL SERVICES-PRE EMPLOY PHY</t>
  </si>
  <si>
    <t>TBD</t>
  </si>
  <si>
    <t>ROOF REPAIRS PROJECTS</t>
  </si>
  <si>
    <t>OIL TANK REPLACEMENT - SCHOOL</t>
  </si>
  <si>
    <t>HIGHWAY EQUIPMENT</t>
  </si>
  <si>
    <t>EMER. MANAGE COMM EQUIPMENT</t>
  </si>
  <si>
    <t>LIBRARY COMPUTER EQUIPMENT</t>
  </si>
  <si>
    <t>FIRE COMM. VEH.</t>
  </si>
  <si>
    <t>PLAYGROUND IMPROVEMENTS</t>
  </si>
  <si>
    <t>PUBLIC SAFETY COMM. SYSTEM</t>
  </si>
  <si>
    <t>SCHOOL TECHNOLOGY PROGRAM</t>
  </si>
  <si>
    <t>SCHOOL-COMP. NETWORK</t>
  </si>
  <si>
    <t>TOWN HALL FURNITURE &amp; EQUIP</t>
  </si>
  <si>
    <t>ADA TOWN HALL - PHASE II</t>
  </si>
  <si>
    <t>INSPECTION SERVICES</t>
  </si>
  <si>
    <t>ATHLETIC COMPLEX PLAN.</t>
  </si>
  <si>
    <t>REPLACE WALL-HS UPPER GYM</t>
  </si>
  <si>
    <t>EXT. PAINT (BUTLER &amp; BURBANK)</t>
  </si>
  <si>
    <t>SPRINKLER V SOCCER FIELD</t>
  </si>
  <si>
    <t>TRACTOR MOWER-TOWN FIELD</t>
  </si>
  <si>
    <t>LAN PC WORKSTATIONS</t>
  </si>
  <si>
    <t>REPLACE SECURITY GATE</t>
  </si>
  <si>
    <t>FURNISHINGS (PHASE 1)</t>
  </si>
  <si>
    <t>ALARM FINES - POLICE</t>
  </si>
  <si>
    <t>RECAP</t>
  </si>
  <si>
    <t>MOTOR VEHICLE EXCISE *</t>
  </si>
  <si>
    <t>ADDED INT &amp; COSTS *</t>
  </si>
  <si>
    <t>PAYMENT IN LIEU OF TAXES *</t>
  </si>
  <si>
    <t>TOTAL FEES *</t>
  </si>
  <si>
    <t>TOTAL FINES *</t>
  </si>
  <si>
    <t>TOTAL DEPARTMENTAL *</t>
  </si>
  <si>
    <t>TOTAL LICENSES &amp; PERMITS *</t>
  </si>
  <si>
    <t>TOTAL INTEREST *</t>
  </si>
  <si>
    <t>EDUCATION REIMB/ NAGE</t>
  </si>
  <si>
    <t>MATERIAL SPREADER</t>
  </si>
  <si>
    <t>REMOVE/REPLACE FUEL TANK</t>
  </si>
  <si>
    <t>REPLACE PICKUP-RECREATION</t>
  </si>
  <si>
    <t>REPLACE PICKUP-CEMETERY</t>
  </si>
  <si>
    <t>LADDER TRUCK</t>
  </si>
  <si>
    <t>REPLACE BREATHING APPARATUS</t>
  </si>
  <si>
    <t>VOCALARM SYSTEM</t>
  </si>
  <si>
    <t>HS ATHLETIC FIELD REP.</t>
  </si>
  <si>
    <t>BENTON LIBRARY BUILDING REPAIR</t>
  </si>
  <si>
    <t>5892-900</t>
  </si>
  <si>
    <t>6970</t>
  </si>
  <si>
    <t>STABILIZATION FUND</t>
  </si>
  <si>
    <t>SKATING RINK - BOARDS/GLASS</t>
  </si>
  <si>
    <t>TOWN WIDE LAN - COMPUTER UP</t>
  </si>
  <si>
    <t>HS AUDITORIUM STAGE LIGHT</t>
  </si>
  <si>
    <t>HEATING OIL-TOWN BUILDINGS</t>
  </si>
  <si>
    <t>HS LIBRARY REDESIGN</t>
  </si>
  <si>
    <t>WELLINGTON WINDOW REPLACE</t>
  </si>
  <si>
    <t>SUMMARY BY FUNCTION</t>
  </si>
  <si>
    <t>The following is for information purposes only</t>
  </si>
  <si>
    <t>REPAIR TOWN TENNIS COURTS</t>
  </si>
  <si>
    <t>POLICE STATION AIR CONDITIONING</t>
  </si>
  <si>
    <t>ATHLETIC FIELD IMPROVEMENTS</t>
  </si>
  <si>
    <t>FY05</t>
  </si>
  <si>
    <t>STIPEND</t>
  </si>
  <si>
    <t>COA - VEHICLE REPLACEMENT</t>
  </si>
  <si>
    <t>BOARD OF HEALTH - VEHICLE</t>
  </si>
  <si>
    <t>E911 RADIO CONSOLE CABINET</t>
  </si>
  <si>
    <t>BUDGET</t>
  </si>
  <si>
    <r>
      <t>SALARY RESERVE</t>
    </r>
    <r>
      <rPr>
        <sz val="9"/>
        <rFont val="Times New Roman"/>
        <family val="1"/>
      </rPr>
      <t xml:space="preserve"> </t>
    </r>
  </si>
  <si>
    <t>BASEBALL INFIELD MACHINE</t>
  </si>
  <si>
    <t>COMM. DEV. - UTILITY TRUCK</t>
  </si>
  <si>
    <t>HIGHWAY GARAGE EXH. LIFT DRAIN</t>
  </si>
  <si>
    <t xml:space="preserve">HS TRANSLUCENT PANEL REPLACE </t>
  </si>
  <si>
    <t>POLICE TRANSPORT VEHICLE</t>
  </si>
  <si>
    <t>CEMETERY BACKHOE</t>
  </si>
  <si>
    <t>AMBULANCE REPLACEMENT</t>
  </si>
  <si>
    <t>HIGHWAY FUEL DISPENSING</t>
  </si>
  <si>
    <t>LIBRARY VAN</t>
  </si>
  <si>
    <t>FACILITY ASSESSMENT STUDY</t>
  </si>
  <si>
    <t>BHS HEATING/VENT STUDY</t>
  </si>
  <si>
    <t>FACILITY REPAIR</t>
  </si>
  <si>
    <t>HIGHWAY GARAGE SECURITY</t>
  </si>
  <si>
    <t>SIDEWALK CONSTRUCTION</t>
  </si>
  <si>
    <t>TOTAL CAPITAL BUDGET</t>
  </si>
  <si>
    <t>OVERLAY</t>
  </si>
  <si>
    <t>5800-910</t>
  </si>
  <si>
    <t>6989</t>
  </si>
  <si>
    <t>TOTAL OVERLAY</t>
  </si>
  <si>
    <t>STATE CHARGES</t>
  </si>
  <si>
    <t>5620-800</t>
  </si>
  <si>
    <t>7010</t>
  </si>
  <si>
    <t>COUNTY TAX</t>
  </si>
  <si>
    <t>5631-800</t>
  </si>
  <si>
    <t>7011</t>
  </si>
  <si>
    <t>SPECIAL ED CHAP 71B</t>
  </si>
  <si>
    <t>CHARTER SCHOOL ASSESSMENT</t>
  </si>
  <si>
    <t>5633-800</t>
  </si>
  <si>
    <t>7012</t>
  </si>
  <si>
    <t>STATE SUPERV RET SYSTEM</t>
  </si>
  <si>
    <t>5634-800</t>
  </si>
  <si>
    <t>5635-800</t>
  </si>
  <si>
    <t>7013</t>
  </si>
  <si>
    <t>E G R HEALTH INSURANCE</t>
  </si>
  <si>
    <t>SCHOOL CHOICE ASSESSMENT</t>
  </si>
  <si>
    <t>5639-800</t>
  </si>
  <si>
    <t>7014</t>
  </si>
  <si>
    <t>AIR POLLUTION CONTROL</t>
  </si>
  <si>
    <t>5640-800</t>
  </si>
  <si>
    <t>7015</t>
  </si>
  <si>
    <t>RENTAL FEES</t>
  </si>
  <si>
    <t>METRO PLANNING COUNCIL</t>
  </si>
  <si>
    <t>5647-800</t>
  </si>
  <si>
    <t>7016</t>
  </si>
  <si>
    <t>BOSTON METRO DISTRICT EXPENSE</t>
  </si>
  <si>
    <t>7016.1</t>
  </si>
  <si>
    <t>CRIMINAL JUSTICE TRNG. CHARGE</t>
  </si>
  <si>
    <t>5648-800</t>
  </si>
  <si>
    <t>7017</t>
  </si>
  <si>
    <t>5649-800</t>
  </si>
  <si>
    <t>7018</t>
  </si>
  <si>
    <t>MBTA</t>
  </si>
  <si>
    <t>7019</t>
  </si>
  <si>
    <t>ESTIMATES TO BE RAISED-PRIOR YEARS</t>
  </si>
  <si>
    <t>SCHOOL DIRECT ED AID (R)</t>
  </si>
  <si>
    <t>STATE REVENUE OFFSET</t>
  </si>
  <si>
    <t>SUBTOTAL</t>
  </si>
  <si>
    <t>TOTAL STATE CHARGES</t>
  </si>
  <si>
    <t>010</t>
  </si>
  <si>
    <t>LEGISLATIVE SERVICE</t>
  </si>
  <si>
    <t>020</t>
  </si>
  <si>
    <t>ELECTION &amp; REGISTRATION</t>
  </si>
  <si>
    <t>030</t>
  </si>
  <si>
    <t>040</t>
  </si>
  <si>
    <t>042</t>
  </si>
  <si>
    <t>046</t>
  </si>
  <si>
    <t>COMMISSIONS/COMMITTEES</t>
  </si>
  <si>
    <t>050</t>
  </si>
  <si>
    <t>055</t>
  </si>
  <si>
    <t>060</t>
  </si>
  <si>
    <t>070</t>
  </si>
  <si>
    <t>FINANCE &amp; ACCOUNTING SERVICES</t>
  </si>
  <si>
    <t>080</t>
  </si>
  <si>
    <t>ASSESSING SERVICES</t>
  </si>
  <si>
    <t>090</t>
  </si>
  <si>
    <t>TREASURY MANAGEMENT &amp; COLLECT</t>
  </si>
  <si>
    <t>091</t>
  </si>
  <si>
    <t>095</t>
  </si>
  <si>
    <t>097</t>
  </si>
  <si>
    <t>099</t>
  </si>
  <si>
    <t>110</t>
  </si>
  <si>
    <t>125</t>
  </si>
  <si>
    <t>130</t>
  </si>
  <si>
    <t>135</t>
  </si>
  <si>
    <t>POLICE TRAFFIC MANAGEMENT</t>
  </si>
  <si>
    <t>140</t>
  </si>
  <si>
    <t>POLICE DETECTION  &amp; INVESTIGATION</t>
  </si>
  <si>
    <t>145</t>
  </si>
  <si>
    <t>POLICE COMMUNITY SERVICE</t>
  </si>
  <si>
    <t>149</t>
  </si>
  <si>
    <t>TRANS FROM LEFTOVER CAPITAL ITEMS</t>
  </si>
  <si>
    <t>PUBLIC SAFETY COMMUNICATIONS</t>
  </si>
  <si>
    <t>150</t>
  </si>
  <si>
    <t>170</t>
  </si>
  <si>
    <t>XXXX</t>
  </si>
  <si>
    <t>FIRE SUPPRESSION &amp; CONTROL</t>
  </si>
  <si>
    <t>190</t>
  </si>
  <si>
    <t>TRAVEL REIMB/ALL DEPTS/WAS ALLOW</t>
  </si>
  <si>
    <t>EMERGENCY MEDICAL SERVICE</t>
  </si>
  <si>
    <t>195</t>
  </si>
  <si>
    <t>CENTRAL FLEET MAINT &amp; HWY FAC</t>
  </si>
  <si>
    <t>200</t>
  </si>
  <si>
    <t>PUBLIC SCHOOLS</t>
  </si>
  <si>
    <t>203</t>
  </si>
  <si>
    <t>HEALTH INS.-Retired School Employees</t>
  </si>
  <si>
    <t>205</t>
  </si>
  <si>
    <t>MINUTEMAN REGIONAL VOC. SCHOOL</t>
  </si>
  <si>
    <t>206</t>
  </si>
  <si>
    <t>MINUTEMAN  -SPECIAL RESERVE</t>
  </si>
  <si>
    <t>TOTAL PUBLIC SCHOOLS</t>
  </si>
  <si>
    <t>302</t>
  </si>
  <si>
    <t>COMM. DEVELOPMENT-ADMIN</t>
  </si>
  <si>
    <t>303</t>
  </si>
  <si>
    <t>COMM. DEVELOPMENT- PLANNING</t>
  </si>
  <si>
    <t>304</t>
  </si>
  <si>
    <t>COMM.DEVELOPMENT-ENGINEERING</t>
  </si>
  <si>
    <t>306</t>
  </si>
  <si>
    <t>COMM.DEVELOPMENT-INSPECTION</t>
  </si>
  <si>
    <t>310</t>
  </si>
  <si>
    <t>312</t>
  </si>
  <si>
    <t>318</t>
  </si>
  <si>
    <t>320</t>
  </si>
  <si>
    <t>322</t>
  </si>
  <si>
    <t>DELTA MAINTENANCE</t>
  </si>
  <si>
    <t>340</t>
  </si>
  <si>
    <t>SOLID WASTE/COLL &amp; DISPOSAL</t>
  </si>
  <si>
    <t>350</t>
  </si>
  <si>
    <t>366</t>
  </si>
  <si>
    <t>520</t>
  </si>
  <si>
    <t>HEALTH SERVICES</t>
  </si>
  <si>
    <t>521</t>
  </si>
  <si>
    <t>540</t>
  </si>
  <si>
    <t>560</t>
  </si>
  <si>
    <t>VETERANS' SERVICES</t>
  </si>
  <si>
    <t>610</t>
  </si>
  <si>
    <t>LIBRARY ADMINISTRATION</t>
  </si>
  <si>
    <t>620</t>
  </si>
  <si>
    <t>LIBRARY PUBLIC SERVICES</t>
  </si>
  <si>
    <t>630</t>
  </si>
  <si>
    <t>LIBRARY TECHNICAL SERVICES</t>
  </si>
  <si>
    <t>650</t>
  </si>
  <si>
    <t>660</t>
  </si>
  <si>
    <t>RECREATION PROGRAMS</t>
  </si>
  <si>
    <t>700</t>
  </si>
  <si>
    <t>MATURING DEBT</t>
  </si>
  <si>
    <t>710</t>
  </si>
  <si>
    <t>INTEREST ON MATURING DEBT</t>
  </si>
  <si>
    <t>797</t>
  </si>
  <si>
    <t>799</t>
  </si>
  <si>
    <t>798</t>
  </si>
  <si>
    <t>CAPITAL PROJECTS</t>
  </si>
  <si>
    <t>TOTAL OPERATING BUDGET</t>
  </si>
  <si>
    <t>ABATEMENTS &amp; EXEMPTIONS</t>
  </si>
  <si>
    <t>TOTAL TOWN OPERATING  BUDGET</t>
  </si>
  <si>
    <t>800</t>
  </si>
  <si>
    <t>CHERRY SHEET CHARGES</t>
  </si>
  <si>
    <t>GRAND TOTALS</t>
  </si>
  <si>
    <t>FY98</t>
  </si>
  <si>
    <t>PROGRAM</t>
  </si>
  <si>
    <t>FY99</t>
  </si>
  <si>
    <t>FY00</t>
  </si>
  <si>
    <t>FY01</t>
  </si>
  <si>
    <t>FY02</t>
  </si>
  <si>
    <t>NUMBER</t>
  </si>
  <si>
    <t>G/L #</t>
  </si>
  <si>
    <t>Account Title</t>
  </si>
  <si>
    <t>EXPENDED</t>
  </si>
  <si>
    <t xml:space="preserve"> </t>
  </si>
  <si>
    <t>LEGISLATIVE</t>
  </si>
  <si>
    <t>5110-010</t>
  </si>
  <si>
    <t>1-5001</t>
  </si>
  <si>
    <t>ELECTED OFFICIAL</t>
  </si>
  <si>
    <t>5130-010</t>
  </si>
  <si>
    <t>OVERTIME</t>
  </si>
  <si>
    <t>PERSONAL SERVICES</t>
  </si>
  <si>
    <t>5300-010</t>
  </si>
  <si>
    <t>5002</t>
  </si>
  <si>
    <t>PROF &amp; TECH SERVICES</t>
  </si>
  <si>
    <t>5343-010</t>
  </si>
  <si>
    <t>5003</t>
  </si>
  <si>
    <t>PRINTING</t>
  </si>
  <si>
    <t>5344-010</t>
  </si>
  <si>
    <t>POSTAGE</t>
  </si>
  <si>
    <t>5346-010</t>
  </si>
  <si>
    <t>5004</t>
  </si>
  <si>
    <t>ADVERTISING</t>
  </si>
  <si>
    <t>PURCHASE OF SERVICES</t>
  </si>
  <si>
    <t>5420-010</t>
  </si>
  <si>
    <t>SUPPLIES</t>
  </si>
  <si>
    <t>TOTAL SUPPLIES</t>
  </si>
  <si>
    <t>TOTAL LEGISLATIVE</t>
  </si>
  <si>
    <t>ELECTIONS &amp; REGISTRATION</t>
  </si>
  <si>
    <t>5111-020</t>
  </si>
  <si>
    <t>5026</t>
  </si>
  <si>
    <t>FULL-TIME SALARIES</t>
  </si>
  <si>
    <t>5112-020</t>
  </si>
  <si>
    <t>5027</t>
  </si>
  <si>
    <t>PART-TIME SALARIES</t>
  </si>
  <si>
    <t>5130-020</t>
  </si>
  <si>
    <t>5028</t>
  </si>
  <si>
    <t xml:space="preserve">OVERTIME </t>
  </si>
  <si>
    <t>5171-020</t>
  </si>
  <si>
    <t>5029</t>
  </si>
  <si>
    <t>WORKERS COMP.</t>
  </si>
  <si>
    <t>5174-020</t>
  </si>
  <si>
    <t>5030</t>
  </si>
  <si>
    <t>LIFE INSURANCE</t>
  </si>
  <si>
    <t>5175-020</t>
  </si>
  <si>
    <t>5031</t>
  </si>
  <si>
    <t>HEALTH INSURANCE</t>
  </si>
  <si>
    <t>5246-020</t>
  </si>
  <si>
    <t>5032</t>
  </si>
  <si>
    <t>ADVERTISING/WAR.PREP</t>
  </si>
  <si>
    <t>5249-020</t>
  </si>
  <si>
    <t>5033</t>
  </si>
  <si>
    <t>REP.MAINT.OFF.EQUIP.</t>
  </si>
  <si>
    <t>5250-020</t>
  </si>
  <si>
    <t>5034</t>
  </si>
  <si>
    <t>COMPUTER MAINT</t>
  </si>
  <si>
    <t>5257-020</t>
  </si>
  <si>
    <t>5035</t>
  </si>
  <si>
    <t>VOT.EQUIP. REP/MAINT</t>
  </si>
  <si>
    <t>5271-020</t>
  </si>
  <si>
    <t>5036</t>
  </si>
  <si>
    <t>RENTAL BLDGS.</t>
  </si>
  <si>
    <t>5300-020</t>
  </si>
  <si>
    <t>5037</t>
  </si>
  <si>
    <t>POLLWORKERS</t>
  </si>
  <si>
    <t>r</t>
  </si>
  <si>
    <t>5308-020</t>
  </si>
  <si>
    <t>5038</t>
  </si>
  <si>
    <t>PROF. SERV. DATA PROCESSING</t>
  </si>
  <si>
    <t>5343-020</t>
  </si>
  <si>
    <t>5039</t>
  </si>
  <si>
    <t>PRTG &amp; MAILING</t>
  </si>
  <si>
    <t>5344-020</t>
  </si>
  <si>
    <t>PRINTING &amp; MAILING</t>
  </si>
  <si>
    <t>CRIMINAL JUSTICE TRNG(NEMLEC)</t>
  </si>
  <si>
    <t>*WORKERS COMPENSATION INS.</t>
  </si>
  <si>
    <t>5040</t>
  </si>
  <si>
    <t>5349-020</t>
  </si>
  <si>
    <t>5041</t>
  </si>
  <si>
    <t>ALARM</t>
  </si>
  <si>
    <t>5420-020</t>
  </si>
  <si>
    <t>5042</t>
  </si>
  <si>
    <t>SUPPLIES,OFFICE</t>
  </si>
  <si>
    <t>5490-020</t>
  </si>
  <si>
    <t>5043</t>
  </si>
  <si>
    <t>FOOD SUPPLIES</t>
  </si>
  <si>
    <t>5510-020</t>
  </si>
  <si>
    <t>5044</t>
  </si>
  <si>
    <t>BOOKS &amp; PERIODICALS</t>
  </si>
  <si>
    <t>5580-020</t>
  </si>
  <si>
    <t>5045</t>
  </si>
  <si>
    <t>ELECTION SUPPLIES</t>
  </si>
  <si>
    <t>5710-020</t>
  </si>
  <si>
    <t>5046</t>
  </si>
  <si>
    <t>IN STATE TRAVEL</t>
  </si>
  <si>
    <t>5730-020</t>
  </si>
  <si>
    <t>5047</t>
  </si>
  <si>
    <t>ASSOC.DUES &amp; MEMBERSHIPS</t>
  </si>
  <si>
    <t>OTHER EXPENSES</t>
  </si>
  <si>
    <t>5874-020</t>
  </si>
  <si>
    <t>OFFICE EQUIPMENT</t>
  </si>
  <si>
    <t>CAPITAL OUTLAY</t>
  </si>
  <si>
    <t>TOTAL ELECTIONS &amp; REGISTRATION</t>
  </si>
  <si>
    <t>Only one Town election scheduled for FY02.</t>
  </si>
  <si>
    <t>TOWN CLERK</t>
  </si>
  <si>
    <t>5110-030</t>
  </si>
  <si>
    <t>5069</t>
  </si>
  <si>
    <t>5111-030</t>
  </si>
  <si>
    <t>5070</t>
  </si>
  <si>
    <t>5112-030</t>
  </si>
  <si>
    <t>5071</t>
  </si>
  <si>
    <t>5071.1</t>
  </si>
  <si>
    <t>LONGEVITY</t>
  </si>
  <si>
    <t>5171-030</t>
  </si>
  <si>
    <t>5072</t>
  </si>
  <si>
    <t>WORKERS COMP</t>
  </si>
  <si>
    <t>5174-030</t>
  </si>
  <si>
    <t>5073</t>
  </si>
  <si>
    <t>5175-030</t>
  </si>
  <si>
    <t>5074</t>
  </si>
  <si>
    <t>5180-030</t>
  </si>
  <si>
    <t>5075</t>
  </si>
  <si>
    <t>MEDICARE</t>
  </si>
  <si>
    <t>5249-030</t>
  </si>
  <si>
    <t>5076</t>
  </si>
  <si>
    <t>REPAIR &amp; MAINTENANCE</t>
  </si>
  <si>
    <t>5281-030</t>
  </si>
  <si>
    <t>5077</t>
  </si>
  <si>
    <t>SALARY - UNIV. HIRE PLAN</t>
  </si>
  <si>
    <t>5568.1</t>
  </si>
  <si>
    <t>5573.1</t>
  </si>
  <si>
    <t>5578.1</t>
  </si>
  <si>
    <t>5117.1</t>
  </si>
  <si>
    <t>CONSULTANT / PLANNER MCLN</t>
  </si>
  <si>
    <t>6917.2</t>
  </si>
  <si>
    <t>MAJOR BUILDING REPAIRS</t>
  </si>
  <si>
    <t>6917.3</t>
  </si>
  <si>
    <t>LICENSING FEES</t>
  </si>
  <si>
    <t>6607.1</t>
  </si>
  <si>
    <t>TRANSFER TO OTHER FUNDS</t>
  </si>
  <si>
    <t>TOTAL HEALTH</t>
  </si>
  <si>
    <t>6891.1</t>
  </si>
  <si>
    <t>6401.6</t>
  </si>
  <si>
    <t>5214.3</t>
  </si>
  <si>
    <t>6923</t>
  </si>
  <si>
    <t>COPIER LEASE</t>
  </si>
  <si>
    <t>5303-030</t>
  </si>
  <si>
    <t>5078</t>
  </si>
  <si>
    <t>CONTRACTUAL-SECRETARIAL</t>
  </si>
  <si>
    <t>5308-030</t>
  </si>
  <si>
    <t>5079</t>
  </si>
  <si>
    <t>COMPUTER CONSULTANT</t>
  </si>
  <si>
    <t>5313-030</t>
  </si>
  <si>
    <t>5080</t>
  </si>
  <si>
    <t>BINDING</t>
  </si>
  <si>
    <t>5344-030</t>
  </si>
  <si>
    <t>5081</t>
  </si>
  <si>
    <t>5420-030</t>
  </si>
  <si>
    <t>5082</t>
  </si>
  <si>
    <t>OFFICE SUPPLIES</t>
  </si>
  <si>
    <t>5423-030</t>
  </si>
  <si>
    <t>5083</t>
  </si>
  <si>
    <t>PRINTING - FORMS</t>
  </si>
  <si>
    <t>5424-030</t>
  </si>
  <si>
    <t>5084</t>
  </si>
  <si>
    <t>COPIER SUPPLIES</t>
  </si>
  <si>
    <t>5426-030</t>
  </si>
  <si>
    <t>5085</t>
  </si>
  <si>
    <t>COMPUTER SUPPLIES</t>
  </si>
  <si>
    <t>5586-030</t>
  </si>
  <si>
    <t>5086</t>
  </si>
  <si>
    <t>5710-030</t>
  </si>
  <si>
    <t>5087</t>
  </si>
  <si>
    <t>5711-030</t>
  </si>
  <si>
    <t>TRAVEL ALLOWANCE</t>
  </si>
  <si>
    <t>5731-030</t>
  </si>
  <si>
    <t>5088</t>
  </si>
  <si>
    <t>DUES AND MEMBERSHIPS</t>
  </si>
  <si>
    <t>5741-030</t>
  </si>
  <si>
    <t>5089</t>
  </si>
  <si>
    <t>BONDS</t>
  </si>
  <si>
    <t>5870-030</t>
  </si>
  <si>
    <t>5090</t>
  </si>
  <si>
    <t>REPLACEMENT EQUIPMENT</t>
  </si>
  <si>
    <t>TOTAL TOWN CLERK</t>
  </si>
  <si>
    <t>BOARD OF SELECTMEN</t>
  </si>
  <si>
    <t>5112</t>
  </si>
  <si>
    <t>FULL TIME WAGES</t>
  </si>
  <si>
    <t>5110-040</t>
  </si>
  <si>
    <t>5113</t>
  </si>
  <si>
    <t>BUILDINGS SERVICES</t>
  </si>
  <si>
    <t>WAGES-ELECTED OFFICIALS</t>
  </si>
  <si>
    <t>5112-040</t>
  </si>
  <si>
    <t>5114</t>
  </si>
  <si>
    <t>PART TIME WAGES</t>
  </si>
  <si>
    <t>SALARY RESERVE</t>
  </si>
  <si>
    <t>5171-040</t>
  </si>
  <si>
    <t>5115</t>
  </si>
  <si>
    <t>5175-040</t>
  </si>
  <si>
    <t>5115.3</t>
  </si>
  <si>
    <t>5115.4</t>
  </si>
  <si>
    <t>5300-040</t>
  </si>
  <si>
    <t>5116.6</t>
  </si>
  <si>
    <t>PROFESSIONAL SERVICES</t>
  </si>
  <si>
    <t>5342-040</t>
  </si>
  <si>
    <t>5117</t>
  </si>
  <si>
    <t>PRINTING-SELECTMEN</t>
  </si>
  <si>
    <t>CONSULTANT / McLEAN PLANNER</t>
  </si>
  <si>
    <t>FY07 VOTED</t>
  </si>
  <si>
    <t>5420-040</t>
  </si>
  <si>
    <t>5118</t>
  </si>
  <si>
    <t>5710-040</t>
  </si>
  <si>
    <t>5119</t>
  </si>
  <si>
    <t>IN-STATE TRAVEL</t>
  </si>
  <si>
    <t>5711-040</t>
  </si>
  <si>
    <t>5120</t>
  </si>
  <si>
    <t>EXPENSE ALLOWANCE</t>
  </si>
  <si>
    <t>5730-040</t>
  </si>
  <si>
    <t>5121</t>
  </si>
  <si>
    <t>DUES &amp; MEMBERSHIPS</t>
  </si>
  <si>
    <t>5781-040</t>
  </si>
  <si>
    <t>5122</t>
  </si>
  <si>
    <t>MCLEAN - PAYMENT MOU</t>
  </si>
  <si>
    <t>TOTAL BOARD OF SELECTMEN</t>
  </si>
  <si>
    <t>COMMUNITY RELATIONS</t>
  </si>
  <si>
    <t>5343-042</t>
  </si>
  <si>
    <t>ANNUAL TOWN REPORT-PRINTING</t>
  </si>
  <si>
    <t>5389-042</t>
  </si>
  <si>
    <t>TOWN CELEBRATIONS</t>
  </si>
  <si>
    <t>INTERNET HOME PAGE</t>
  </si>
  <si>
    <t>TOWN MEETING REPORTS</t>
  </si>
  <si>
    <t>TOTAL COMMUNITY RELATIONS</t>
  </si>
  <si>
    <t>COMMITTEES/COMMISSIONS</t>
  </si>
  <si>
    <t>5112-046</t>
  </si>
  <si>
    <t>5167</t>
  </si>
  <si>
    <t>5180-046</t>
  </si>
  <si>
    <t>5167.1</t>
  </si>
  <si>
    <t>5300-046</t>
  </si>
  <si>
    <t>5168</t>
  </si>
  <si>
    <t>5316-046</t>
  </si>
  <si>
    <t>5170</t>
  </si>
  <si>
    <t>DRUG EDUCATION</t>
  </si>
  <si>
    <t>5340-046</t>
  </si>
  <si>
    <t>5171</t>
  </si>
  <si>
    <t>5342-046</t>
  </si>
  <si>
    <t>5172</t>
  </si>
  <si>
    <t>5172.1</t>
  </si>
  <si>
    <t>MCLEAN HOSPITAL TASK FORCE</t>
  </si>
  <si>
    <t>5420-046</t>
  </si>
  <si>
    <t>5173</t>
  </si>
  <si>
    <t>SIDEWALKS,CONSTR.</t>
  </si>
  <si>
    <t>5586-046</t>
  </si>
  <si>
    <t>5174</t>
  </si>
  <si>
    <t>5710-046</t>
  </si>
  <si>
    <t>5175</t>
  </si>
  <si>
    <t>5730-046</t>
  </si>
  <si>
    <t>5176</t>
  </si>
  <si>
    <t>DUES &amp; MEMBERSHIP</t>
  </si>
  <si>
    <t>TOTAL COMMITTEE/COMMISSIONS</t>
  </si>
  <si>
    <t>GENERAL MANAGEMENT SERVICES</t>
  </si>
  <si>
    <t>5111-050</t>
  </si>
  <si>
    <t>5198</t>
  </si>
  <si>
    <t>5112-050</t>
  </si>
  <si>
    <t>5199</t>
  </si>
  <si>
    <t>5130-050</t>
  </si>
  <si>
    <t>5200</t>
  </si>
  <si>
    <t>5146-050</t>
  </si>
  <si>
    <t>5202</t>
  </si>
  <si>
    <t>5171-050</t>
  </si>
  <si>
    <t>5203</t>
  </si>
  <si>
    <t>5174-050</t>
  </si>
  <si>
    <t>5204</t>
  </si>
  <si>
    <t>5175-050</t>
  </si>
  <si>
    <t>5205</t>
  </si>
  <si>
    <t>5180-050</t>
  </si>
  <si>
    <t>5206</t>
  </si>
  <si>
    <t>5207</t>
  </si>
  <si>
    <t>5249-050</t>
  </si>
  <si>
    <t>5208</t>
  </si>
  <si>
    <t>MAINTENANCE OFFICE EQUIP.</t>
  </si>
  <si>
    <t>5281-050</t>
  </si>
  <si>
    <t>5209</t>
  </si>
  <si>
    <t>RENTALS/LEASES</t>
  </si>
  <si>
    <t>5300-050</t>
  </si>
  <si>
    <t>5210</t>
  </si>
  <si>
    <t>5310-050</t>
  </si>
  <si>
    <t>5211</t>
  </si>
  <si>
    <t>PROFESSIONAL STAFF DEVELOPMENT/TRAINING</t>
  </si>
  <si>
    <t>5317-050</t>
  </si>
  <si>
    <t>5212</t>
  </si>
  <si>
    <t>DISABILITY INSURANCE</t>
  </si>
  <si>
    <t>ADVERTISING SERVICE</t>
  </si>
  <si>
    <t>5341-050</t>
  </si>
  <si>
    <t>5212.1</t>
  </si>
  <si>
    <t>TELEPHONE</t>
  </si>
  <si>
    <t>5343-050</t>
  </si>
  <si>
    <t>5213</t>
  </si>
  <si>
    <t>PRINTING/MAILING</t>
  </si>
  <si>
    <t>5346-050</t>
  </si>
  <si>
    <t>5214</t>
  </si>
  <si>
    <t>COMPUTER SERVICES</t>
  </si>
  <si>
    <t>5348-050</t>
  </si>
  <si>
    <t>5214.1</t>
  </si>
  <si>
    <t>AUTOMOTIVE REPAIRS/SERVICE</t>
  </si>
  <si>
    <t xml:space="preserve">Not yet approved </t>
  </si>
  <si>
    <t>ACTUAL</t>
  </si>
  <si>
    <t xml:space="preserve">Actual </t>
  </si>
  <si>
    <t>Object</t>
  </si>
  <si>
    <t>Description</t>
  </si>
  <si>
    <t>FY 1995</t>
  </si>
  <si>
    <t>FY 1996</t>
  </si>
  <si>
    <t>FY 1997</t>
  </si>
  <si>
    <t>FY 2002</t>
  </si>
  <si>
    <t>4130</t>
  </si>
  <si>
    <t>REAL &amp; PERSONAL PROPERTY TAXES</t>
  </si>
  <si>
    <t>ALLOWABLE 2 1/2% INCREASE</t>
  </si>
  <si>
    <t>NEW GROWTH</t>
  </si>
  <si>
    <t>TAX OVERRIDE</t>
  </si>
  <si>
    <t>DEBT EXCLUSION</t>
  </si>
  <si>
    <t>4150</t>
  </si>
  <si>
    <t>4170</t>
  </si>
  <si>
    <t>4180</t>
  </si>
  <si>
    <t>TOTAL TAXES &amp; COSTS</t>
  </si>
  <si>
    <t>4230</t>
  </si>
  <si>
    <t>FEES - TOWN CLERK</t>
  </si>
  <si>
    <t>FEES - TREASURER</t>
  </si>
  <si>
    <t>FEES-PARKING MARKING</t>
  </si>
  <si>
    <t>DEPUTY FEES - CLEARING</t>
  </si>
  <si>
    <t>RMV EXCISE FEE</t>
  </si>
  <si>
    <t>BUILDING SYSTEMS MAINTENANCE</t>
  </si>
  <si>
    <t>PRINTED MATERIALS</t>
  </si>
  <si>
    <t>HOSE</t>
  </si>
  <si>
    <t>LICENSING</t>
  </si>
  <si>
    <t>OXYGEN</t>
  </si>
  <si>
    <t>MEDICAL EQUIPMENT &amp; DEFIBRILATOR</t>
  </si>
  <si>
    <t>T2</t>
  </si>
  <si>
    <t>T1</t>
  </si>
  <si>
    <t>T8</t>
  </si>
  <si>
    <t>6615/6595</t>
  </si>
  <si>
    <t>TRANSPORTATION EXPENSES</t>
  </si>
  <si>
    <t>FEES - APPEALS BOARD</t>
  </si>
  <si>
    <t>FEES-POLICE</t>
  </si>
  <si>
    <t>FEES - FIRE</t>
  </si>
  <si>
    <t>FEES - SEALER WEIGHTS</t>
  </si>
  <si>
    <t>4321</t>
  </si>
  <si>
    <t>COURT FINES</t>
  </si>
  <si>
    <t>4871</t>
  </si>
  <si>
    <t>PARKING FINES</t>
  </si>
  <si>
    <t>4370</t>
  </si>
  <si>
    <t>OTHER SELECTMEN</t>
  </si>
  <si>
    <t>OTHER TREASURER</t>
  </si>
  <si>
    <t>OTHER ASSESSORS</t>
  </si>
  <si>
    <t>OTHER TOWN CLERK</t>
  </si>
  <si>
    <t>OTHER POLICE</t>
  </si>
  <si>
    <t>OTHER FIRE</t>
  </si>
  <si>
    <t>OTHER SCHOOL</t>
  </si>
  <si>
    <t>SCHOOL-MEDICAID REIMBURSEMENT</t>
  </si>
  <si>
    <t>BUILDINGS &amp; GROUNDS - TELEPHONE COMM.</t>
  </si>
  <si>
    <t>OTHER HIGHWAY - DISPOSAL FEES</t>
  </si>
  <si>
    <t>OTHER BUILDINGS &amp; GROUNDS</t>
  </si>
  <si>
    <t>OTHER HEALTH</t>
  </si>
  <si>
    <t>OTHER HEALTH-TOWN OF WATERTOWN</t>
  </si>
  <si>
    <t>OTHER CEMETERY</t>
  </si>
  <si>
    <t>OTHER CONSERVATION COMMISSION</t>
  </si>
  <si>
    <t>OTHER LIBRARY</t>
  </si>
  <si>
    <t>POSTAGE METER</t>
  </si>
  <si>
    <t>FY2007</t>
  </si>
  <si>
    <t>OTHER RECREATION-SENIOR CITIZEN PROG.</t>
  </si>
  <si>
    <t>OTHER RECREATION-PROGRAMS</t>
  </si>
  <si>
    <t>OTHER MISCELLANEOUS</t>
  </si>
  <si>
    <t>AMBULANCE RECEIPTS</t>
  </si>
  <si>
    <t>SALE OF INVENTORY</t>
  </si>
  <si>
    <t>LICENSES - SELECTMEN (LIQUOR)</t>
  </si>
  <si>
    <t>LICENSES - POLICE</t>
  </si>
  <si>
    <t>DESIGN FIRE STATIONS</t>
  </si>
  <si>
    <t>DESIGN SENIOR CENTER</t>
  </si>
  <si>
    <t>LICENSES - BUILDING</t>
  </si>
  <si>
    <t>4830</t>
  </si>
  <si>
    <t>TOTAL LOCAL RECEIPTS</t>
  </si>
  <si>
    <t>4900</t>
  </si>
  <si>
    <t>OTHER AVAILABLE FUNDS</t>
  </si>
  <si>
    <t>RECEIPTS RESERVED APPROP</t>
  </si>
  <si>
    <t>SEWER USER FEES-ADM COSTS</t>
  </si>
  <si>
    <t>UNRESERVED FUND BALANCE-OPER.</t>
  </si>
  <si>
    <t>UNRESERVED FUND BALANCE-CAPITAL</t>
  </si>
  <si>
    <t>CHAPTER 90 REIMBURSEMENT FROM STATE</t>
  </si>
  <si>
    <t>W/B AUDIT PAVEMENT MANAGEMENT-STAB.</t>
  </si>
  <si>
    <t>STABILIZATION FUND-CAPITAL PROJECTS</t>
  </si>
  <si>
    <t>TRANS. FROM LIGHT DEPT-DEBT SERVICE</t>
  </si>
  <si>
    <t>TRANS FROM WATER FOR OPER COSTS</t>
  </si>
  <si>
    <t>TRANSFER - KENDALL SCHOOL</t>
  </si>
  <si>
    <t>TRANSFER - SPECIAL REVENUE</t>
  </si>
  <si>
    <t>TOTAL TRANSFERS</t>
  </si>
  <si>
    <t>Salary &amp; Benefit Reserve includes $125K for Health &amp; $573K for % on base &amp; other</t>
  </si>
  <si>
    <t>TOTAL LOCAL REC/OTHER FIN.</t>
  </si>
  <si>
    <t>4800</t>
  </si>
  <si>
    <t>SCHOOL AID CHAPTER 70</t>
  </si>
  <si>
    <t>FUND BAL ABATE &amp; EXEMPT</t>
  </si>
  <si>
    <t>RENTALS</t>
  </si>
  <si>
    <t>CMS SETTLEMENT</t>
  </si>
  <si>
    <t>OTHER HIGHWAY/RECYCLABLE</t>
  </si>
  <si>
    <t>OTHER COUNCIL ON AGING</t>
  </si>
  <si>
    <t>TRANS FROM LIGHT DEPT FOR TAX REDUCTION</t>
  </si>
  <si>
    <t>ADDITIONAL ASSISTANCE</t>
  </si>
  <si>
    <t>SCHOOL TRANSPORTATION PROGRAMS</t>
  </si>
  <si>
    <t xml:space="preserve">SCH CONSTR-STATE AID </t>
  </si>
  <si>
    <t>SCHOOL CHOICE</t>
  </si>
  <si>
    <t>POLICE CAREER INCENTIVE</t>
  </si>
  <si>
    <t>VETERANS' BENEFITS</t>
  </si>
  <si>
    <t>HIGHWAY FUND</t>
  </si>
  <si>
    <t>LOTTERY</t>
  </si>
  <si>
    <t>LOSS OF TAXES VETERANS</t>
  </si>
  <si>
    <t>LOSS OF TAXES BLIND</t>
  </si>
  <si>
    <t>LOSS OF TAXES SURV SPOUSES</t>
  </si>
  <si>
    <t>LOSS OF TAXES ELDERLY</t>
  </si>
  <si>
    <t>STATE WARD</t>
  </si>
  <si>
    <t>TOTAL STATE AID</t>
  </si>
  <si>
    <t>KENDALL SCHOOL FIRE REIMB.</t>
  </si>
  <si>
    <t>KENDALL SCHOOL SITE STUDY</t>
  </si>
  <si>
    <t>5420-050</t>
  </si>
  <si>
    <t>5215</t>
  </si>
  <si>
    <t>5424-050</t>
  </si>
  <si>
    <t>SEWER I &amp; I CONSTRUCTION</t>
  </si>
  <si>
    <t>FLSA RETROACTIVE</t>
  </si>
  <si>
    <t>30-6974.24</t>
  </si>
  <si>
    <t>LAND ACQ - FIRE STATIONS</t>
  </si>
  <si>
    <t>30-6975.22</t>
  </si>
  <si>
    <t>30-6975.23</t>
  </si>
  <si>
    <t>30-6975.24</t>
  </si>
  <si>
    <t>30-6975.25</t>
  </si>
  <si>
    <t>30-6975.26</t>
  </si>
  <si>
    <t>BLDG - PURCHASE MODULAR UNITS</t>
  </si>
  <si>
    <t>TOWN HALL HVAC REPAIRS</t>
  </si>
  <si>
    <t>SCHOOL ELEVATOR REPAIRS</t>
  </si>
  <si>
    <t>WELLINGTON SCH DESIGN</t>
  </si>
  <si>
    <t>CONCORD AVE PROPERTY PURCHASE</t>
  </si>
  <si>
    <t>FY06 $40,000 Revolving Account</t>
  </si>
  <si>
    <t>5216</t>
  </si>
  <si>
    <t>PHOTOCOPY SUPPLIES</t>
  </si>
  <si>
    <t>5586-050</t>
  </si>
  <si>
    <t>5217</t>
  </si>
  <si>
    <t>BOOKS/PERIODICALS</t>
  </si>
  <si>
    <t>5710-050</t>
  </si>
  <si>
    <t>5218</t>
  </si>
  <si>
    <t>5711-050</t>
  </si>
  <si>
    <t>5219</t>
  </si>
  <si>
    <t>5730-050</t>
  </si>
  <si>
    <t>5220</t>
  </si>
  <si>
    <t>5874-050</t>
  </si>
  <si>
    <t>5221</t>
  </si>
  <si>
    <t>OFFICE EQUIPMENT/WORKSTATIONS</t>
  </si>
  <si>
    <t>SYSTEM &amp; SOFTWARE UPGRADE</t>
  </si>
  <si>
    <t>TOTAL MANAGEMENT SERVICES</t>
  </si>
  <si>
    <t>ROCK MEADOW MOWING</t>
  </si>
  <si>
    <t>CONSERVATION COMM MEMBERSHIP</t>
  </si>
  <si>
    <t>ROCK MEADOW CONSERVATION</t>
  </si>
  <si>
    <t>HUMAN RESOURCES</t>
  </si>
  <si>
    <t>5225</t>
  </si>
  <si>
    <t>5226</t>
  </si>
  <si>
    <t>5226.1</t>
  </si>
  <si>
    <t>INCENTIVE</t>
  </si>
  <si>
    <t>5227</t>
  </si>
  <si>
    <t>5228</t>
  </si>
  <si>
    <t>5229</t>
  </si>
  <si>
    <t>5230</t>
  </si>
  <si>
    <t>5230.1</t>
  </si>
  <si>
    <t>5230.2</t>
  </si>
  <si>
    <t>EDUCATIONAL INCENTIVE</t>
  </si>
  <si>
    <t>5233</t>
  </si>
  <si>
    <t>PROFESSIONAL STAFF DEVELOPMENT</t>
  </si>
  <si>
    <t>5233.1</t>
  </si>
  <si>
    <t>CLASSIFICATI0N STUDY</t>
  </si>
  <si>
    <t>5233.2</t>
  </si>
  <si>
    <t>EMPLOYEE ASSISTANCE PROGRAM</t>
  </si>
  <si>
    <t>5234</t>
  </si>
  <si>
    <t>5235</t>
  </si>
  <si>
    <t>5235.1</t>
  </si>
  <si>
    <t>EMPLOYEE RECOGNITION  PROGRAM</t>
  </si>
  <si>
    <t>5235.2</t>
  </si>
  <si>
    <t>5235.3</t>
  </si>
  <si>
    <t>5235.4</t>
  </si>
  <si>
    <t>MAINTENANCE OF OFFICE EQUIPMENT</t>
  </si>
  <si>
    <t>5236</t>
  </si>
  <si>
    <t>5237</t>
  </si>
  <si>
    <t>5238</t>
  </si>
  <si>
    <t>5239</t>
  </si>
  <si>
    <t>5240</t>
  </si>
  <si>
    <t xml:space="preserve">     TOTAL HUMAN RESOURCES</t>
  </si>
  <si>
    <t>LEGAL SERVICES</t>
  </si>
  <si>
    <t>5304-060</t>
  </si>
  <si>
    <t>5243</t>
  </si>
  <si>
    <t>PROF. SERVICE-LEGAL</t>
  </si>
  <si>
    <t>5789-060</t>
  </si>
  <si>
    <t>5244</t>
  </si>
  <si>
    <t>SETTLEMENTS</t>
  </si>
  <si>
    <t>TOTAL LEGAL SERVICES</t>
  </si>
  <si>
    <t>FINANCE &amp; ACCOUNTING</t>
  </si>
  <si>
    <t>5111-070</t>
  </si>
  <si>
    <t>5266</t>
  </si>
  <si>
    <t>5112-070</t>
  </si>
  <si>
    <t>5267</t>
  </si>
  <si>
    <t>5146-070</t>
  </si>
  <si>
    <t>5268</t>
  </si>
  <si>
    <t>5171-070</t>
  </si>
  <si>
    <t>5269</t>
  </si>
  <si>
    <t>MUNIS</t>
  </si>
  <si>
    <t>Org &amp; Obj</t>
  </si>
  <si>
    <t>WORKERS COMPENSATION</t>
  </si>
  <si>
    <t>5174-070</t>
  </si>
  <si>
    <t>5270</t>
  </si>
  <si>
    <t>5175-070</t>
  </si>
  <si>
    <t>5271</t>
  </si>
  <si>
    <t>5180-070</t>
  </si>
  <si>
    <t>5272</t>
  </si>
  <si>
    <t>5191-070</t>
  </si>
  <si>
    <t>5273</t>
  </si>
  <si>
    <t>EDUCATION INCENTIVE</t>
  </si>
  <si>
    <t>5281-070</t>
  </si>
  <si>
    <t>5274</t>
  </si>
  <si>
    <t>5302-070</t>
  </si>
  <si>
    <t>5275</t>
  </si>
  <si>
    <t>AUDIT TOWN RECORDS</t>
  </si>
  <si>
    <t>5341-070</t>
  </si>
  <si>
    <t>5275.1</t>
  </si>
  <si>
    <t>5275.2</t>
  </si>
  <si>
    <t>5343-070</t>
  </si>
  <si>
    <t>5276</t>
  </si>
  <si>
    <t>5346-070</t>
  </si>
  <si>
    <t>5277</t>
  </si>
  <si>
    <t>5420-070</t>
  </si>
  <si>
    <t>5278</t>
  </si>
  <si>
    <t>5424-070</t>
  </si>
  <si>
    <t>5279</t>
  </si>
  <si>
    <t>COPY SUPPLIES</t>
  </si>
  <si>
    <t>5426-070</t>
  </si>
  <si>
    <t>5280</t>
  </si>
  <si>
    <t>5586-070</t>
  </si>
  <si>
    <t>5281</t>
  </si>
  <si>
    <t>5301-046</t>
  </si>
  <si>
    <t>5169</t>
  </si>
  <si>
    <t>WARRANT COMMITTEE</t>
  </si>
  <si>
    <t>5710-070</t>
  </si>
  <si>
    <t>5282</t>
  </si>
  <si>
    <t>5730-070</t>
  </si>
  <si>
    <t>5283</t>
  </si>
  <si>
    <t>5874-070</t>
  </si>
  <si>
    <t>5284</t>
  </si>
  <si>
    <t>REPLACE OFFICE EQUIPMENT</t>
  </si>
  <si>
    <t>TOTAL FINANCE &amp; ACCOUNTING</t>
  </si>
  <si>
    <t>ASSESSORS SERVICES</t>
  </si>
  <si>
    <t>5110-080</t>
  </si>
  <si>
    <t>5329</t>
  </si>
  <si>
    <t>ELECTED OFFICIALS</t>
  </si>
  <si>
    <t>5111-080</t>
  </si>
  <si>
    <t>5330</t>
  </si>
  <si>
    <t>FULL TIME</t>
  </si>
  <si>
    <t>5120-080</t>
  </si>
  <si>
    <t>5331</t>
  </si>
  <si>
    <t xml:space="preserve">PART TIME </t>
  </si>
  <si>
    <t>5146-080</t>
  </si>
  <si>
    <t>5332</t>
  </si>
  <si>
    <t>5171-080</t>
  </si>
  <si>
    <t>5333</t>
  </si>
  <si>
    <t>5174-080</t>
  </si>
  <si>
    <t>5334</t>
  </si>
  <si>
    <t>5175-080</t>
  </si>
  <si>
    <t>5335</t>
  </si>
  <si>
    <t>5180-080</t>
  </si>
  <si>
    <t>5336</t>
  </si>
  <si>
    <t>5249-080</t>
  </si>
  <si>
    <t>5337</t>
  </si>
  <si>
    <t>MAINT. OFFICE EQUIPMENT</t>
  </si>
  <si>
    <t>5308-080</t>
  </si>
  <si>
    <t>5338</t>
  </si>
  <si>
    <t>5311-080</t>
  </si>
  <si>
    <t>5339</t>
  </si>
  <si>
    <t>REGISTRY OF DEEDS</t>
  </si>
  <si>
    <t>5391-080</t>
  </si>
  <si>
    <t>5340</t>
  </si>
  <si>
    <t>REVALUATION</t>
  </si>
  <si>
    <t>5420-080</t>
  </si>
  <si>
    <t>5341</t>
  </si>
  <si>
    <t>5710-080</t>
  </si>
  <si>
    <t>5342</t>
  </si>
  <si>
    <t>5711-080</t>
  </si>
  <si>
    <t>5343</t>
  </si>
  <si>
    <t>5731-080</t>
  </si>
  <si>
    <t>5344</t>
  </si>
  <si>
    <t>5730-080</t>
  </si>
  <si>
    <t>5345</t>
  </si>
  <si>
    <t>SUBSCRIPTIONS</t>
  </si>
  <si>
    <t>TOTAL ASSESSORS SERVICES</t>
  </si>
  <si>
    <t>TREASURY MANAGEMENT-COLLECTION</t>
  </si>
  <si>
    <t>5110-090</t>
  </si>
  <si>
    <t>5367</t>
  </si>
  <si>
    <t>5111-090</t>
  </si>
  <si>
    <t>5368</t>
  </si>
  <si>
    <t>5112-090</t>
  </si>
  <si>
    <t>5369</t>
  </si>
  <si>
    <t>5146-090</t>
  </si>
  <si>
    <t>5370</t>
  </si>
  <si>
    <t>5171-090</t>
  </si>
  <si>
    <t>5371</t>
  </si>
  <si>
    <t>5174-090</t>
  </si>
  <si>
    <t>5372</t>
  </si>
  <si>
    <t>5175-090</t>
  </si>
  <si>
    <t>5373</t>
  </si>
  <si>
    <t>5180-090</t>
  </si>
  <si>
    <t>5374</t>
  </si>
  <si>
    <t>5249-090</t>
  </si>
  <si>
    <t>5375</t>
  </si>
  <si>
    <t>MAINT OFFICE EQUIP</t>
  </si>
  <si>
    <t>DIG SAFE</t>
  </si>
  <si>
    <t>CENTRAL FLEET MAINT - HIGHWAY FACILITIES</t>
  </si>
  <si>
    <t>SOLID WASTE COLLECTION &amp; DISPOSAL</t>
  </si>
  <si>
    <t>ABATEMENTS &amp; EXEMPTIONS ALLOWANCE</t>
  </si>
  <si>
    <t xml:space="preserve">PUBLIC WORKS ADMINISTRATION </t>
  </si>
  <si>
    <t>TOTAL PUBLIC WORKS ADMIN.</t>
  </si>
  <si>
    <t xml:space="preserve">       TOTAL SNOW REMOVAL</t>
  </si>
  <si>
    <t>5295-090</t>
  </si>
  <si>
    <t>5376</t>
  </si>
  <si>
    <t>CERTIF/NOTES/BONDS</t>
  </si>
  <si>
    <t>5296-090</t>
  </si>
  <si>
    <t>5377</t>
  </si>
  <si>
    <t>TAX POSSESSION</t>
  </si>
  <si>
    <t>5297-090</t>
  </si>
  <si>
    <t>5378</t>
  </si>
  <si>
    <t>TAX TITLE TAKING</t>
  </si>
  <si>
    <t>5302-090</t>
  </si>
  <si>
    <t>5379</t>
  </si>
  <si>
    <t>BELMONT VISION 21 COMM</t>
  </si>
  <si>
    <t>HEALTH INS- HARVARD</t>
  </si>
  <si>
    <t>LLEB GRANT - TOWN'S SHARE</t>
  </si>
  <si>
    <t>LLEB OVERTIME- TOWN SHARE</t>
  </si>
  <si>
    <t>CEMETERY EQUIP/ LAWNMOWER</t>
  </si>
  <si>
    <t>RINK CHILLER/ CONDENSOR</t>
  </si>
  <si>
    <t>FIRE DEPT RADIO SYSTEM</t>
  </si>
  <si>
    <t>WAVERLY FIRE STAT FLOOR</t>
  </si>
  <si>
    <t>SCHOOL EQUIP PHOTOCOPIER</t>
  </si>
  <si>
    <t>SCHOOL - DOOR/CARPET REP.</t>
  </si>
  <si>
    <t>DESIGN SERV. BHS TRACK</t>
  </si>
  <si>
    <t>FY06</t>
  </si>
  <si>
    <t>*Please note that indirect costs of $120,000 is being raised in FY07 in the General Fund General Government line items</t>
  </si>
  <si>
    <t>*Please note that indirect costs of $150,000 is being raised in FY07 in the General Fund General Government line items</t>
  </si>
  <si>
    <t>Chapter 90 - actual expenditures &amp; budget for 07</t>
  </si>
  <si>
    <t>There are some adjustments for new assumptions (economic etc).</t>
  </si>
  <si>
    <t xml:space="preserve">* Please note that most estimated receipts are based on prior year actual collections.  </t>
  </si>
  <si>
    <r>
      <t xml:space="preserve">* </t>
    </r>
    <r>
      <rPr>
        <sz val="10"/>
        <rFont val="Times New Roman"/>
        <family val="1"/>
      </rPr>
      <t>TOTALS FOR SHARED APPROPRIATIONS FOR HEALTH(SEE DETAIL SHEET FOR PROGRAM DISTRIBUTION)</t>
    </r>
  </si>
  <si>
    <t>*</t>
  </si>
  <si>
    <t>LIBRARY CONST. PLANNING</t>
  </si>
  <si>
    <t>BURBANK TECH HARDWARE</t>
  </si>
  <si>
    <t>BUTLER TECH HARDWARE</t>
  </si>
  <si>
    <t>WELLINGTON TECH HARDWARE</t>
  </si>
  <si>
    <t>WINNBROOK TECH HARDWARE</t>
  </si>
  <si>
    <t>CMS TECH HARDWARE</t>
  </si>
  <si>
    <t>BHS TECH HARDWARE</t>
  </si>
  <si>
    <t>ADMIN NETWORK HARDWARE</t>
  </si>
  <si>
    <t>ADMIN NETWORK SOFTWARE</t>
  </si>
  <si>
    <t>ELEMENTARY SOFTWARE</t>
  </si>
  <si>
    <t>CMS SOFTWARE</t>
  </si>
  <si>
    <t>BHS SOFTWARE</t>
  </si>
  <si>
    <t>VOTING EQUIP LOAN REPAY</t>
  </si>
  <si>
    <t>CAPACITY NOT USED</t>
  </si>
  <si>
    <t>BANK SERVICE CHARGE</t>
  </si>
  <si>
    <t>5308-090</t>
  </si>
  <si>
    <t>5380</t>
  </si>
  <si>
    <t>COMPUTER SERVICE</t>
  </si>
  <si>
    <t>5343-090</t>
  </si>
  <si>
    <t>5381</t>
  </si>
  <si>
    <t>5344-090</t>
  </si>
  <si>
    <t>5382</t>
  </si>
  <si>
    <t>5382.1</t>
  </si>
  <si>
    <t>POLICE PAID DETAILS</t>
  </si>
  <si>
    <t>5420-090</t>
  </si>
  <si>
    <t>5383</t>
  </si>
  <si>
    <t>5426-090</t>
  </si>
  <si>
    <t>5384</t>
  </si>
  <si>
    <t>5586-090</t>
  </si>
  <si>
    <t>Original</t>
  </si>
  <si>
    <t>INT ON TEMP BORR - DEBT EXCLUSION</t>
  </si>
  <si>
    <t>5385</t>
  </si>
  <si>
    <t>5710-090</t>
  </si>
  <si>
    <t>5386</t>
  </si>
  <si>
    <t>5711-090</t>
  </si>
  <si>
    <t>5387</t>
  </si>
  <si>
    <t>5730-090</t>
  </si>
  <si>
    <t>5388</t>
  </si>
  <si>
    <t>ASSOC.DUES &amp; MEMBERSHIP</t>
  </si>
  <si>
    <t>5741-090</t>
  </si>
  <si>
    <t>5389</t>
  </si>
  <si>
    <t>INSURANCE AND BONDS</t>
  </si>
  <si>
    <t>5874-090</t>
  </si>
  <si>
    <t>REPLACE OFFICE EQUIP</t>
  </si>
  <si>
    <t>Y2K CONVERSION</t>
  </si>
  <si>
    <t>TOTAL TREASURER &amp; COLLECTION</t>
  </si>
  <si>
    <t>PARKING CLERK</t>
  </si>
  <si>
    <t>5112-091</t>
  </si>
  <si>
    <t>5412</t>
  </si>
  <si>
    <t>5146-091</t>
  </si>
  <si>
    <t>5413</t>
  </si>
  <si>
    <t>5171-091</t>
  </si>
  <si>
    <t>5414</t>
  </si>
  <si>
    <t>5174-091</t>
  </si>
  <si>
    <t>5415</t>
  </si>
  <si>
    <t>5415.1</t>
  </si>
  <si>
    <t>5180-091</t>
  </si>
  <si>
    <t>5416</t>
  </si>
  <si>
    <t>5259-091</t>
  </si>
  <si>
    <t>5417</t>
  </si>
  <si>
    <t>PARKING LOT MAINTENANCE</t>
  </si>
  <si>
    <t>5320-091</t>
  </si>
  <si>
    <t>5418</t>
  </si>
  <si>
    <t>TICKET PROCESSING</t>
  </si>
  <si>
    <t>5342-091</t>
  </si>
  <si>
    <t>5418.1</t>
  </si>
  <si>
    <t>5420-091</t>
  </si>
  <si>
    <t>5419</t>
  </si>
  <si>
    <t>5996-091</t>
  </si>
  <si>
    <t>PARKING METER MACHINES</t>
  </si>
  <si>
    <t>TOTAL CAPITAL OUTLAY</t>
  </si>
  <si>
    <t>TOTAL PARKING CLERK</t>
  </si>
  <si>
    <t>RESERVE FUND</t>
  </si>
  <si>
    <t>5780-095</t>
  </si>
  <si>
    <t>5442</t>
  </si>
  <si>
    <t>TOTAL RESERVE FUND</t>
  </si>
  <si>
    <t xml:space="preserve">RETIREMENT </t>
  </si>
  <si>
    <t>5177-099</t>
  </si>
  <si>
    <t>5463</t>
  </si>
  <si>
    <t>CONTRIBUTORY RETIREMENT SYS</t>
  </si>
  <si>
    <t>5178-099</t>
  </si>
  <si>
    <t>5464</t>
  </si>
  <si>
    <t>NON-CONTRIBUTORY RETIREMENT</t>
  </si>
  <si>
    <t>TOTAL RETIREMENT</t>
  </si>
  <si>
    <t>INSURANCE</t>
  </si>
  <si>
    <t>5171-099</t>
  </si>
  <si>
    <t>5465</t>
  </si>
  <si>
    <t>5172-099</t>
  </si>
  <si>
    <t>5466</t>
  </si>
  <si>
    <t>UNEMPLOYMENT COMPENSATION</t>
  </si>
  <si>
    <t>5175-099</t>
  </si>
  <si>
    <t>5467</t>
  </si>
  <si>
    <t>*CHAPTER 32B GROUP INSURANCE</t>
  </si>
  <si>
    <t>5180-099</t>
  </si>
  <si>
    <t>5468</t>
  </si>
  <si>
    <t>*MEDICARE 1.45%</t>
  </si>
  <si>
    <t>DRUG &amp; ALCOHOL TESTING</t>
  </si>
  <si>
    <t>SALARY &amp; HEALTH BENEFITS RES.</t>
  </si>
  <si>
    <t>l</t>
  </si>
  <si>
    <t>5341-099</t>
  </si>
  <si>
    <t>5080.001</t>
  </si>
  <si>
    <t>CONTINGENCY FOR PY SHORTFALLS</t>
  </si>
  <si>
    <t>*TELEPHONE SWITCHBOARD</t>
  </si>
  <si>
    <t>5740-099</t>
  </si>
  <si>
    <t>5470</t>
  </si>
  <si>
    <t>AUTO, FIRE, LIABILITY INS.</t>
  </si>
  <si>
    <t/>
  </si>
  <si>
    <t>TOTAL  INSURANCE</t>
  </si>
  <si>
    <t>TOTAL GENERAL GOVERNMENT</t>
  </si>
  <si>
    <t>UNEMPLOYMENT COMP</t>
  </si>
  <si>
    <t>POLICE ADMINISTRATION</t>
  </si>
  <si>
    <t>5111-110</t>
  </si>
  <si>
    <t>5476</t>
  </si>
  <si>
    <t>FULL TIME SALARIES</t>
  </si>
  <si>
    <t>5142-110</t>
  </si>
  <si>
    <t>5477</t>
  </si>
  <si>
    <t>EDUCATIONAL</t>
  </si>
  <si>
    <t>5145-110</t>
  </si>
  <si>
    <t>5478</t>
  </si>
  <si>
    <t>HOLIDAY</t>
  </si>
  <si>
    <t>5146-110</t>
  </si>
  <si>
    <t>5479</t>
  </si>
  <si>
    <t>5171-110</t>
  </si>
  <si>
    <t>5480</t>
  </si>
  <si>
    <t>5174-110</t>
  </si>
  <si>
    <t>5481</t>
  </si>
  <si>
    <t>5175-110</t>
  </si>
  <si>
    <t>5482</t>
  </si>
  <si>
    <t>5180-110</t>
  </si>
  <si>
    <t>5483</t>
  </si>
  <si>
    <t>5193-110</t>
  </si>
  <si>
    <t>5484</t>
  </si>
  <si>
    <t>UNIFORM ALLOWANCE</t>
  </si>
  <si>
    <t>5218-110</t>
  </si>
  <si>
    <t>5485</t>
  </si>
  <si>
    <t>ELECTRICITY</t>
  </si>
  <si>
    <t>5231-110</t>
  </si>
  <si>
    <t>5486</t>
  </si>
  <si>
    <t>WATER</t>
  </si>
  <si>
    <t>5232-110</t>
  </si>
  <si>
    <t>5486.1</t>
  </si>
  <si>
    <t>MAINTENANCE AGREEMENT</t>
  </si>
  <si>
    <t>5246-110</t>
  </si>
  <si>
    <t>5487</t>
  </si>
  <si>
    <t>5249-110</t>
  </si>
  <si>
    <t>5488</t>
  </si>
  <si>
    <t>LEASE OF COPIER</t>
  </si>
  <si>
    <t>5301-110</t>
  </si>
  <si>
    <t>5489</t>
  </si>
  <si>
    <t>5308-110</t>
  </si>
  <si>
    <t>5489.1</t>
  </si>
  <si>
    <t>COMPUTER MAINT-LEAPS</t>
  </si>
  <si>
    <t>5314-110</t>
  </si>
  <si>
    <t>5490</t>
  </si>
  <si>
    <t>5343-110</t>
  </si>
  <si>
    <t>5491</t>
  </si>
  <si>
    <t>5344-110</t>
  </si>
  <si>
    <t>5492</t>
  </si>
  <si>
    <t>5346-110</t>
  </si>
  <si>
    <t>5493</t>
  </si>
  <si>
    <t>5411-110</t>
  </si>
  <si>
    <t>5494</t>
  </si>
  <si>
    <t>5420-110</t>
  </si>
  <si>
    <t>5495</t>
  </si>
  <si>
    <t>5480-110</t>
  </si>
  <si>
    <t>5496</t>
  </si>
  <si>
    <t>VEHICLE SUPPLIES</t>
  </si>
  <si>
    <t>5482-110</t>
  </si>
  <si>
    <t>5497</t>
  </si>
  <si>
    <t>5584-110</t>
  </si>
  <si>
    <t>5498</t>
  </si>
  <si>
    <t>UNIFORMS/CLOTHING</t>
  </si>
  <si>
    <t>5586-110</t>
  </si>
  <si>
    <t>5499</t>
  </si>
  <si>
    <t>5730-110</t>
  </si>
  <si>
    <t>5500</t>
  </si>
  <si>
    <t>DUES/MEMBERSHIP</t>
  </si>
  <si>
    <t>5801-110</t>
  </si>
  <si>
    <t>5501</t>
  </si>
  <si>
    <t>COPIER/OFFICE FURNITURE</t>
  </si>
  <si>
    <t>5802-110</t>
  </si>
  <si>
    <t>5502</t>
  </si>
  <si>
    <t>HONOR GUARD UNIFORMS</t>
  </si>
  <si>
    <t>5503</t>
  </si>
  <si>
    <t>RE:  POLICE EQUIPMENT</t>
  </si>
  <si>
    <t>TOTAL POLICE ADMIN.</t>
  </si>
  <si>
    <t>POLICE RECORDS</t>
  </si>
  <si>
    <t>5111-125</t>
  </si>
  <si>
    <t>5536</t>
  </si>
  <si>
    <t>5112-125</t>
  </si>
  <si>
    <t>5537</t>
  </si>
  <si>
    <t>5146-125</t>
  </si>
  <si>
    <t>5538</t>
  </si>
  <si>
    <t>5171-125</t>
  </si>
  <si>
    <t>5539</t>
  </si>
  <si>
    <t>5175-125</t>
  </si>
  <si>
    <t>5540</t>
  </si>
  <si>
    <t>5180-125</t>
  </si>
  <si>
    <t>5540.1</t>
  </si>
  <si>
    <t>5249-125</t>
  </si>
  <si>
    <t>5541</t>
  </si>
  <si>
    <t>5281-125</t>
  </si>
  <si>
    <t>5542</t>
  </si>
  <si>
    <t>5420-125</t>
  </si>
  <si>
    <t>5543</t>
  </si>
  <si>
    <t>5424-125</t>
  </si>
  <si>
    <t>5544</t>
  </si>
  <si>
    <t>PHOTOCOPIER SUPPLIES</t>
  </si>
  <si>
    <t>TOTAL POLICE RECORDS</t>
  </si>
  <si>
    <t>POLICE PATROL SERVICES</t>
  </si>
  <si>
    <t>5111-130</t>
  </si>
  <si>
    <t>5566</t>
  </si>
  <si>
    <t>5112-130</t>
  </si>
  <si>
    <t>5567</t>
  </si>
  <si>
    <t>SALARY, UNIVERSAL HIRING PLAN</t>
  </si>
  <si>
    <t>5131-130</t>
  </si>
  <si>
    <t>5569</t>
  </si>
  <si>
    <t>5132-130</t>
  </si>
  <si>
    <t>5570</t>
  </si>
  <si>
    <t>OVT,DIVERSITY TRAINING</t>
  </si>
  <si>
    <t>5570.1</t>
  </si>
  <si>
    <t>5145-130</t>
  </si>
  <si>
    <t>5572</t>
  </si>
  <si>
    <t>5147-130</t>
  </si>
  <si>
    <t>5573</t>
  </si>
  <si>
    <t>NIGHT DIFFERENTIAL</t>
  </si>
  <si>
    <t>5174-130</t>
  </si>
  <si>
    <t>5574</t>
  </si>
  <si>
    <t>5175-130</t>
  </si>
  <si>
    <t>5575</t>
  </si>
  <si>
    <t>5180-130</t>
  </si>
  <si>
    <t>5576</t>
  </si>
  <si>
    <t>5193-130</t>
  </si>
  <si>
    <t>5577</t>
  </si>
  <si>
    <t>5194-130</t>
  </si>
  <si>
    <t>5578</t>
  </si>
  <si>
    <t>IN-SERVICE TRAINING</t>
  </si>
  <si>
    <t>5246-130</t>
  </si>
  <si>
    <t>5579</t>
  </si>
  <si>
    <t>5249-130</t>
  </si>
  <si>
    <t>5580</t>
  </si>
  <si>
    <t>5252-130</t>
  </si>
  <si>
    <t>5581</t>
  </si>
  <si>
    <t>5258-130</t>
  </si>
  <si>
    <t>5582</t>
  </si>
  <si>
    <t>5301-130</t>
  </si>
  <si>
    <t>5583</t>
  </si>
  <si>
    <t>5420-130</t>
  </si>
  <si>
    <t>5584</t>
  </si>
  <si>
    <t>5427-130</t>
  </si>
  <si>
    <t>5585</t>
  </si>
  <si>
    <t>POLICE SUPPLIES</t>
  </si>
  <si>
    <t>5480-130</t>
  </si>
  <si>
    <t>5586</t>
  </si>
  <si>
    <t>5482-130</t>
  </si>
  <si>
    <t>5587</t>
  </si>
  <si>
    <t>5494-130</t>
  </si>
  <si>
    <t>5588</t>
  </si>
  <si>
    <t>PRISONER EXPENSE</t>
  </si>
  <si>
    <t>5500-130</t>
  </si>
  <si>
    <t>5589</t>
  </si>
  <si>
    <t>MED./SURG. SUPPLIES</t>
  </si>
  <si>
    <t>5584-130</t>
  </si>
  <si>
    <t>5590</t>
  </si>
  <si>
    <t>5585-130</t>
  </si>
  <si>
    <t>5591</t>
  </si>
  <si>
    <t>5710-130</t>
  </si>
  <si>
    <t>5592</t>
  </si>
  <si>
    <t>5592.1</t>
  </si>
  <si>
    <t>PAID DETAIL FUNDING</t>
  </si>
  <si>
    <t>5870-130</t>
  </si>
  <si>
    <t>CRUISER REPLACEMENT</t>
  </si>
  <si>
    <t>5874-130</t>
  </si>
  <si>
    <t>5872-130</t>
  </si>
  <si>
    <t>LAPTOP COMPUTERS FOR CRUISERS</t>
  </si>
  <si>
    <t>LLEB EQUIP - TOWN SHARE</t>
  </si>
  <si>
    <t>TOTAL POLICE PATROL SERVICES</t>
  </si>
  <si>
    <t>TRAFFIC MANAGEMENT</t>
  </si>
  <si>
    <t>5111-135</t>
  </si>
  <si>
    <t>5617</t>
  </si>
  <si>
    <t>5112-135</t>
  </si>
  <si>
    <t>5618</t>
  </si>
  <si>
    <t>5131-135</t>
  </si>
  <si>
    <t>5619</t>
  </si>
  <si>
    <t>5142-135</t>
  </si>
  <si>
    <t>5620</t>
  </si>
  <si>
    <t>5145-135</t>
  </si>
  <si>
    <t>5621</t>
  </si>
  <si>
    <t>5148-135</t>
  </si>
  <si>
    <t>5622</t>
  </si>
  <si>
    <t>PROSECUTOR PAY</t>
  </si>
  <si>
    <t>5171-135</t>
  </si>
  <si>
    <t>5623</t>
  </si>
  <si>
    <t>5174-135</t>
  </si>
  <si>
    <t>5624</t>
  </si>
  <si>
    <t>5175-135</t>
  </si>
  <si>
    <t>5625</t>
  </si>
  <si>
    <t>5180-135</t>
  </si>
  <si>
    <t>5626</t>
  </si>
  <si>
    <t>5193-135</t>
  </si>
  <si>
    <t>5627</t>
  </si>
  <si>
    <t>5194-135</t>
  </si>
  <si>
    <t>5628</t>
  </si>
  <si>
    <t>5246-135</t>
  </si>
  <si>
    <t>5629</t>
  </si>
  <si>
    <t>5258-135</t>
  </si>
  <si>
    <t>5630</t>
  </si>
  <si>
    <t>5420-135</t>
  </si>
  <si>
    <t>5631</t>
  </si>
  <si>
    <t>5427-135</t>
  </si>
  <si>
    <t>5632</t>
  </si>
  <si>
    <t>5480-135</t>
  </si>
  <si>
    <t>5633</t>
  </si>
  <si>
    <t>5482-135</t>
  </si>
  <si>
    <t>5634</t>
  </si>
  <si>
    <t>5584-135</t>
  </si>
  <si>
    <t>5635</t>
  </si>
  <si>
    <t>5585-135</t>
  </si>
  <si>
    <t>5636</t>
  </si>
  <si>
    <t>5710-135</t>
  </si>
  <si>
    <t>5637</t>
  </si>
  <si>
    <t>5874-135</t>
  </si>
  <si>
    <t>5872-135</t>
  </si>
  <si>
    <t>TOTAL TRAFFIC MANAGEMENT</t>
  </si>
  <si>
    <t xml:space="preserve">DETECTIVES &amp; INVESTIGATION </t>
  </si>
  <si>
    <t>5111-140</t>
  </si>
  <si>
    <t>5661</t>
  </si>
  <si>
    <t>5131-140</t>
  </si>
  <si>
    <t>5662</t>
  </si>
  <si>
    <t>5142-140</t>
  </si>
  <si>
    <t>5663</t>
  </si>
  <si>
    <t>5145-140</t>
  </si>
  <si>
    <t>5664</t>
  </si>
  <si>
    <t>5148-140</t>
  </si>
  <si>
    <t>5665</t>
  </si>
  <si>
    <t>5174-140</t>
  </si>
  <si>
    <t>5666</t>
  </si>
  <si>
    <t>5175-140</t>
  </si>
  <si>
    <t>FY07 EST</t>
  </si>
  <si>
    <t>EXPENSES</t>
  </si>
  <si>
    <t>5667</t>
  </si>
  <si>
    <t>5180-140</t>
  </si>
  <si>
    <t>5667.1</t>
  </si>
  <si>
    <t xml:space="preserve">MEDICARE </t>
  </si>
  <si>
    <t>CUSTODIAL OVERTIME - SCHOOL</t>
  </si>
  <si>
    <t>5193-140</t>
  </si>
  <si>
    <t>5668</t>
  </si>
  <si>
    <t>5246-140</t>
  </si>
  <si>
    <t>5669</t>
  </si>
  <si>
    <t>5258-140</t>
  </si>
  <si>
    <t>5670</t>
  </si>
  <si>
    <t>5420-140</t>
  </si>
  <si>
    <t>5671</t>
  </si>
  <si>
    <t>TOTAL CAPITAL EXPENSES</t>
  </si>
  <si>
    <t>CONTINUE TOWN IT REPLACEMENT</t>
  </si>
  <si>
    <t>UPGRADE TOWN/SCHOOL NETWORK</t>
  </si>
  <si>
    <t>REPLACE SCHOOL COMPUTERS</t>
  </si>
  <si>
    <t>CHAPTER 90 CONSTRUCTION</t>
  </si>
  <si>
    <t>CH90 CONSTR/HWY FUND (R)</t>
  </si>
  <si>
    <t>TOTAL CHAP 90/HWY FUND</t>
  </si>
  <si>
    <t>SANITARY SEWER MAINT (R)</t>
  </si>
  <si>
    <t>21-5110.</t>
  </si>
  <si>
    <t>21-5120.</t>
  </si>
  <si>
    <t>21-5140.</t>
  </si>
  <si>
    <t>21-5160.</t>
  </si>
  <si>
    <t>21-5162.</t>
  </si>
  <si>
    <t>21-5164.</t>
  </si>
  <si>
    <t>21-5166.</t>
  </si>
  <si>
    <t>21-5168</t>
  </si>
  <si>
    <t>21-5170</t>
  </si>
  <si>
    <t>21-5211</t>
  </si>
  <si>
    <t>21-5300</t>
  </si>
  <si>
    <t>OUTSIDE LABOR</t>
  </si>
  <si>
    <t>21-5310</t>
  </si>
  <si>
    <t>REPAIR &amp; MAINT S.S.</t>
  </si>
  <si>
    <t>21-5370</t>
  </si>
  <si>
    <t>RENTAL EQUIP.</t>
  </si>
  <si>
    <t>21-5360</t>
  </si>
  <si>
    <t>CONTRACT PATCH</t>
  </si>
  <si>
    <t>21-5350</t>
  </si>
  <si>
    <t>21-5240</t>
  </si>
  <si>
    <t>METER READING SERVICE</t>
  </si>
  <si>
    <t>21-5400</t>
  </si>
  <si>
    <t>6179</t>
  </si>
  <si>
    <t>ADMINISTRATION COST</t>
  </si>
  <si>
    <t>INTERGOVERNMENTAL</t>
  </si>
  <si>
    <t>21-5801.</t>
  </si>
  <si>
    <t>TRUCKS</t>
  </si>
  <si>
    <t>METER MODERNIZATION</t>
  </si>
  <si>
    <t>21-5810.</t>
  </si>
  <si>
    <t>SEWER &amp; DRAIN REPLACEMENT</t>
  </si>
  <si>
    <t>TOTAL SANITARY SEWER MAINT</t>
  </si>
  <si>
    <t>Actual amount per assessment.</t>
  </si>
  <si>
    <t>Amount increased in order to recoup administrative costs.</t>
  </si>
  <si>
    <t>21-5600</t>
  </si>
  <si>
    <t>MWRA ASSESSMENT (R)</t>
  </si>
  <si>
    <t>21-5700</t>
  </si>
  <si>
    <t>MWRA LOAN REPAYMENT</t>
  </si>
  <si>
    <t>xxxx</t>
  </si>
  <si>
    <t>SEWER RESERVE</t>
  </si>
  <si>
    <t>21-5910.</t>
  </si>
  <si>
    <t>INDIRECT COST REIMB TO TOWN</t>
  </si>
  <si>
    <t>Amount represents a 4.1% increase over actual FY01 assessment.</t>
  </si>
  <si>
    <t>STORMWATER MAINT. (R)</t>
  </si>
  <si>
    <t>21-5115</t>
  </si>
  <si>
    <t>21-5145</t>
  </si>
  <si>
    <t>21-5163</t>
  </si>
  <si>
    <t>21-5165</t>
  </si>
  <si>
    <t>21-5167</t>
  </si>
  <si>
    <t>21-5169</t>
  </si>
  <si>
    <t>21-5305</t>
  </si>
  <si>
    <t>OUTSIDE LABOR R&amp;M</t>
  </si>
  <si>
    <t>21-5375</t>
  </si>
  <si>
    <t>RENTAL EQUIPMENT</t>
  </si>
  <si>
    <t>21-5365</t>
  </si>
  <si>
    <t>CONTR PERM PATCH</t>
  </si>
  <si>
    <t>21-5405</t>
  </si>
  <si>
    <t>PUB. WKS. SUPP.</t>
  </si>
  <si>
    <t>TOTAL STORMWATER MAINT.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</si>
</sst>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"/>
    <numFmt numFmtId="166" formatCode="0.0_);\(0.0\)"/>
    <numFmt numFmtId="167" formatCode="&quot;$&quot;#,##0"/>
    <numFmt numFmtId="168" formatCode="0.00_);\(0.00\)"/>
    <numFmt numFmtId="169" formatCode="0.000_);\(0.000\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&quot;$&quot;#,##0.00"/>
    <numFmt numFmtId="174" formatCode="0.000"/>
    <numFmt numFmtId="175" formatCode="0.0000"/>
    <numFmt numFmtId="176" formatCode="&quot;$&quot;#,##0;[Red]&quot;$&quot;#,##0"/>
    <numFmt numFmtId="177" formatCode="&quot;$&quot;#,##0.000"/>
    <numFmt numFmtId="178" formatCode="&quot;$&quot;#,##0.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00"/>
    <numFmt numFmtId="182" formatCode="_(* #,##0.0_);_(* \(#,##0.0\);_(* &quot;-&quot;?_);_(@_)"/>
    <numFmt numFmtId="183" formatCode="_(* #,##0.000_);_(* \(#,##0.000\);_(* &quot;-&quot;???_);_(@_)"/>
    <numFmt numFmtId="184" formatCode="_(* #,##0.000_);_(* \(#,##0.000\);_(* &quot;-&quot;??_);_(@_)"/>
    <numFmt numFmtId="185" formatCode="_(* #,##0.0000_);_(* \(#,##0.0000\);_(* &quot;-&quot;??_);_(@_)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i/>
      <sz val="10"/>
      <name val="Times New Roman"/>
      <family val="1"/>
    </font>
    <font>
      <b/>
      <u val="singleAccounting"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i/>
      <sz val="8"/>
      <name val="CG Times"/>
      <family val="0"/>
    </font>
    <font>
      <sz val="8"/>
      <name val="CG Times"/>
      <family val="0"/>
    </font>
    <font>
      <vertAlign val="superscript"/>
      <sz val="8"/>
      <name val="CG Times"/>
      <family val="0"/>
    </font>
    <font>
      <b/>
      <sz val="8"/>
      <name val="CG Times"/>
      <family val="0"/>
    </font>
    <font>
      <b/>
      <vertAlign val="superscript"/>
      <sz val="8"/>
      <name val="CG Times"/>
      <family val="0"/>
    </font>
    <font>
      <b/>
      <u val="single"/>
      <sz val="10"/>
      <name val="Arial"/>
      <family val="2"/>
    </font>
    <font>
      <b/>
      <u val="singleAccounting"/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171" fontId="5" fillId="0" borderId="0" xfId="15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67" fontId="13" fillId="0" borderId="0" xfId="0" applyNumberFormat="1" applyFont="1" applyFill="1" applyBorder="1" applyAlignment="1" applyProtection="1">
      <alignment/>
      <protection/>
    </xf>
    <xf numFmtId="171" fontId="13" fillId="0" borderId="0" xfId="15" applyNumberFormat="1" applyFont="1" applyFill="1" applyBorder="1" applyAlignment="1" applyProtection="1">
      <alignment/>
      <protection/>
    </xf>
    <xf numFmtId="171" fontId="8" fillId="0" borderId="0" xfId="15" applyNumberFormat="1" applyFont="1" applyFill="1" applyBorder="1" applyAlignment="1" applyProtection="1">
      <alignment/>
      <protection locked="0"/>
    </xf>
    <xf numFmtId="171" fontId="7" fillId="0" borderId="0" xfId="15" applyNumberFormat="1" applyFont="1" applyFill="1" applyBorder="1" applyAlignment="1">
      <alignment/>
    </xf>
    <xf numFmtId="171" fontId="7" fillId="0" borderId="0" xfId="15" applyNumberFormat="1" applyFont="1" applyFill="1" applyBorder="1" applyAlignment="1" applyProtection="1">
      <alignment/>
      <protection locked="0"/>
    </xf>
    <xf numFmtId="171" fontId="7" fillId="0" borderId="0" xfId="15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171" fontId="5" fillId="0" borderId="0" xfId="15" applyNumberFormat="1" applyFont="1" applyFill="1" applyBorder="1" applyAlignment="1">
      <alignment horizontal="center"/>
    </xf>
    <xf numFmtId="171" fontId="6" fillId="0" borderId="0" xfId="15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 applyProtection="1">
      <alignment horizontal="center"/>
      <protection/>
    </xf>
    <xf numFmtId="171" fontId="6" fillId="0" borderId="0" xfId="15" applyNumberFormat="1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167" fontId="8" fillId="0" borderId="0" xfId="0" applyNumberFormat="1" applyFont="1" applyFill="1" applyBorder="1" applyAlignment="1">
      <alignment/>
    </xf>
    <xf numFmtId="171" fontId="8" fillId="0" borderId="0" xfId="15" applyNumberFormat="1" applyFont="1" applyFill="1" applyBorder="1" applyAlignment="1">
      <alignment/>
    </xf>
    <xf numFmtId="171" fontId="8" fillId="0" borderId="0" xfId="15" applyNumberFormat="1" applyFont="1" applyFill="1" applyBorder="1" applyAlignment="1" applyProtection="1">
      <alignment/>
      <protection/>
    </xf>
    <xf numFmtId="165" fontId="7" fillId="0" borderId="0" xfId="0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 applyProtection="1">
      <alignment/>
      <protection/>
    </xf>
    <xf numFmtId="167" fontId="6" fillId="0" borderId="0" xfId="0" applyNumberFormat="1" applyFont="1" applyFill="1" applyBorder="1" applyAlignment="1" applyProtection="1">
      <alignment/>
      <protection/>
    </xf>
    <xf numFmtId="171" fontId="6" fillId="0" borderId="0" xfId="15" applyNumberFormat="1" applyFont="1" applyFill="1" applyBorder="1" applyAlignment="1" applyProtection="1">
      <alignment/>
      <protection/>
    </xf>
    <xf numFmtId="171" fontId="5" fillId="0" borderId="0" xfId="15" applyNumberFormat="1" applyFont="1" applyFill="1" applyBorder="1" applyAlignment="1" applyProtection="1">
      <alignment/>
      <protection/>
    </xf>
    <xf numFmtId="167" fontId="8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67" fontId="5" fillId="0" borderId="0" xfId="0" applyNumberFormat="1" applyFont="1" applyFill="1" applyBorder="1" applyAlignment="1" applyProtection="1">
      <alignment/>
      <protection/>
    </xf>
    <xf numFmtId="171" fontId="5" fillId="0" borderId="0" xfId="15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quotePrefix="1">
      <alignment/>
    </xf>
    <xf numFmtId="1" fontId="7" fillId="0" borderId="0" xfId="0" applyNumberFormat="1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167" fontId="11" fillId="0" borderId="0" xfId="0" applyNumberFormat="1" applyFont="1" applyFill="1" applyBorder="1" applyAlignment="1" applyProtection="1">
      <alignment/>
      <protection/>
    </xf>
    <xf numFmtId="171" fontId="11" fillId="0" borderId="0" xfId="15" applyNumberFormat="1" applyFont="1" applyFill="1" applyBorder="1" applyAlignment="1" applyProtection="1">
      <alignment/>
      <protection/>
    </xf>
    <xf numFmtId="171" fontId="16" fillId="0" borderId="0" xfId="15" applyNumberFormat="1" applyFont="1" applyFill="1" applyBorder="1" applyAlignment="1" applyProtection="1">
      <alignment/>
      <protection/>
    </xf>
    <xf numFmtId="171" fontId="18" fillId="0" borderId="0" xfId="15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 applyProtection="1" quotePrefix="1">
      <alignment horizontal="center"/>
      <protection/>
    </xf>
    <xf numFmtId="2" fontId="7" fillId="0" borderId="0" xfId="0" applyNumberFormat="1" applyFont="1" applyFill="1" applyBorder="1" applyAlignment="1" applyProtection="1" quotePrefix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12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/>
      <protection/>
    </xf>
    <xf numFmtId="6" fontId="7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/>
    </xf>
    <xf numFmtId="5" fontId="8" fillId="0" borderId="0" xfId="0" applyNumberFormat="1" applyFont="1" applyFill="1" applyBorder="1" applyAlignment="1" applyProtection="1">
      <alignment/>
      <protection/>
    </xf>
    <xf numFmtId="167" fontId="13" fillId="0" borderId="0" xfId="0" applyNumberFormat="1" applyFont="1" applyFill="1" applyBorder="1" applyAlignment="1">
      <alignment/>
    </xf>
    <xf numFmtId="171" fontId="13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2" fontId="15" fillId="0" borderId="0" xfId="0" applyNumberFormat="1" applyFont="1" applyFill="1" applyBorder="1" applyAlignment="1" applyProtection="1">
      <alignment horizontal="center"/>
      <protection/>
    </xf>
    <xf numFmtId="2" fontId="11" fillId="0" borderId="0" xfId="0" applyNumberFormat="1" applyFont="1" applyFill="1" applyBorder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 quotePrefix="1">
      <alignment horizontal="center"/>
      <protection/>
    </xf>
    <xf numFmtId="167" fontId="8" fillId="0" borderId="0" xfId="21" applyNumberFormat="1" applyFont="1" applyFill="1" applyBorder="1" applyProtection="1">
      <alignment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 applyProtection="1">
      <alignment/>
      <protection/>
    </xf>
    <xf numFmtId="171" fontId="7" fillId="0" borderId="0" xfId="15" applyNumberFormat="1" applyFont="1" applyFill="1" applyBorder="1" applyAlignment="1">
      <alignment/>
    </xf>
    <xf numFmtId="171" fontId="7" fillId="0" borderId="0" xfId="15" applyNumberFormat="1" applyFont="1" applyFill="1" applyBorder="1" applyAlignment="1" applyProtection="1">
      <alignment/>
      <protection locked="0"/>
    </xf>
    <xf numFmtId="167" fontId="8" fillId="0" borderId="0" xfId="0" applyNumberFormat="1" applyFont="1" applyFill="1" applyBorder="1" applyAlignment="1" applyProtection="1">
      <alignment/>
      <protection/>
    </xf>
    <xf numFmtId="171" fontId="8" fillId="0" borderId="0" xfId="15" applyNumberFormat="1" applyFont="1" applyFill="1" applyBorder="1" applyAlignment="1">
      <alignment/>
    </xf>
    <xf numFmtId="171" fontId="8" fillId="0" borderId="0" xfId="15" applyNumberFormat="1" applyFont="1" applyFill="1" applyBorder="1" applyAlignment="1" applyProtection="1">
      <alignment/>
      <protection/>
    </xf>
    <xf numFmtId="171" fontId="8" fillId="0" borderId="0" xfId="15" applyNumberFormat="1" applyFont="1" applyFill="1" applyBorder="1" applyAlignment="1" applyProtection="1">
      <alignment/>
      <protection locked="0"/>
    </xf>
    <xf numFmtId="171" fontId="7" fillId="0" borderId="0" xfId="15" applyNumberFormat="1" applyFont="1" applyFill="1" applyBorder="1" applyAlignment="1" applyProtection="1">
      <alignment/>
      <protection/>
    </xf>
    <xf numFmtId="167" fontId="8" fillId="0" borderId="0" xfId="0" applyNumberFormat="1" applyFont="1" applyFill="1" applyBorder="1" applyAlignment="1">
      <alignment/>
    </xf>
    <xf numFmtId="171" fontId="5" fillId="0" borderId="0" xfId="15" applyNumberFormat="1" applyFont="1" applyFill="1" applyBorder="1" applyAlignment="1">
      <alignment/>
    </xf>
    <xf numFmtId="171" fontId="5" fillId="0" borderId="0" xfId="15" applyNumberFormat="1" applyFont="1" applyFill="1" applyBorder="1" applyAlignment="1" applyProtection="1">
      <alignment/>
      <protection locked="0"/>
    </xf>
    <xf numFmtId="167" fontId="7" fillId="0" borderId="0" xfId="0" applyNumberFormat="1" applyFont="1" applyFill="1" applyBorder="1" applyAlignment="1">
      <alignment/>
    </xf>
    <xf numFmtId="2" fontId="17" fillId="0" borderId="0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quotePrefix="1">
      <alignment horizontal="center"/>
    </xf>
    <xf numFmtId="167" fontId="7" fillId="0" borderId="0" xfId="0" applyNumberFormat="1" applyFont="1" applyFill="1" applyBorder="1" applyAlignment="1">
      <alignment horizontal="right"/>
    </xf>
    <xf numFmtId="171" fontId="7" fillId="0" borderId="0" xfId="15" applyNumberFormat="1" applyFont="1" applyFill="1" applyBorder="1" applyAlignment="1">
      <alignment horizontal="right"/>
    </xf>
    <xf numFmtId="171" fontId="7" fillId="0" borderId="0" xfId="15" applyNumberFormat="1" applyFont="1" applyFill="1" applyBorder="1" applyAlignment="1" applyProtection="1">
      <alignment horizontal="right"/>
      <protection locked="0"/>
    </xf>
    <xf numFmtId="171" fontId="6" fillId="0" borderId="0" xfId="15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 applyProtection="1">
      <alignment horizontal="center"/>
      <protection/>
    </xf>
    <xf numFmtId="167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2" fontId="9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167" fontId="12" fillId="0" borderId="0" xfId="0" applyNumberFormat="1" applyFont="1" applyFill="1" applyBorder="1" applyAlignment="1">
      <alignment/>
    </xf>
    <xf numFmtId="171" fontId="12" fillId="0" borderId="0" xfId="15" applyNumberFormat="1" applyFont="1" applyFill="1" applyBorder="1" applyAlignment="1">
      <alignment/>
    </xf>
    <xf numFmtId="171" fontId="12" fillId="0" borderId="0" xfId="15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171" fontId="5" fillId="0" borderId="0" xfId="15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 horizontal="center"/>
      <protection/>
    </xf>
    <xf numFmtId="0" fontId="7" fillId="0" borderId="1" xfId="0" applyFont="1" applyFill="1" applyBorder="1" applyAlignment="1">
      <alignment/>
    </xf>
    <xf numFmtId="171" fontId="7" fillId="0" borderId="2" xfId="15" applyNumberFormat="1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71" fontId="7" fillId="0" borderId="5" xfId="15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44" fontId="7" fillId="0" borderId="0" xfId="17" applyFont="1" applyFill="1" applyBorder="1" applyAlignment="1" quotePrefix="1">
      <alignment horizontal="center"/>
    </xf>
    <xf numFmtId="0" fontId="7" fillId="0" borderId="0" xfId="0" applyFont="1" applyFill="1" applyBorder="1" applyAlignment="1" applyProtection="1" quotePrefix="1">
      <alignment horizontal="center"/>
      <protection/>
    </xf>
    <xf numFmtId="171" fontId="16" fillId="0" borderId="0" xfId="15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171" fontId="19" fillId="0" borderId="0" xfId="15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7" fontId="7" fillId="0" borderId="0" xfId="0" applyNumberFormat="1" applyFont="1" applyFill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171" fontId="21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3" fillId="0" borderId="6" xfId="0" applyFont="1" applyBorder="1" applyAlignment="1">
      <alignment wrapText="1"/>
    </xf>
    <xf numFmtId="0" fontId="23" fillId="0" borderId="6" xfId="0" applyFont="1" applyBorder="1" applyAlignment="1">
      <alignment horizontal="right" wrapText="1"/>
    </xf>
    <xf numFmtId="0" fontId="23" fillId="0" borderId="6" xfId="0" applyFont="1" applyBorder="1" applyAlignment="1">
      <alignment horizontal="center" wrapText="1"/>
    </xf>
    <xf numFmtId="6" fontId="23" fillId="0" borderId="6" xfId="0" applyNumberFormat="1" applyFont="1" applyBorder="1" applyAlignment="1">
      <alignment wrapText="1"/>
    </xf>
    <xf numFmtId="0" fontId="25" fillId="0" borderId="6" xfId="0" applyFont="1" applyBorder="1" applyAlignment="1">
      <alignment horizontal="right" wrapText="1"/>
    </xf>
    <xf numFmtId="6" fontId="25" fillId="0" borderId="6" xfId="0" applyNumberFormat="1" applyFont="1" applyBorder="1" applyAlignment="1">
      <alignment wrapText="1"/>
    </xf>
    <xf numFmtId="0" fontId="25" fillId="0" borderId="6" xfId="0" applyFont="1" applyBorder="1" applyAlignment="1">
      <alignment wrapText="1"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1" fillId="0" borderId="0" xfId="0" applyNumberFormat="1" applyFont="1" applyAlignment="1">
      <alignment/>
    </xf>
    <xf numFmtId="171" fontId="0" fillId="0" borderId="0" xfId="15" applyNumberFormat="1" applyAlignment="1">
      <alignment/>
    </xf>
    <xf numFmtId="171" fontId="21" fillId="0" borderId="0" xfId="15" applyNumberFormat="1" applyFont="1" applyAlignment="1">
      <alignment/>
    </xf>
    <xf numFmtId="1" fontId="0" fillId="0" borderId="0" xfId="0" applyNumberFormat="1" applyAlignment="1">
      <alignment/>
    </xf>
    <xf numFmtId="171" fontId="21" fillId="0" borderId="0" xfId="15" applyNumberFormat="1" applyFont="1" applyFill="1" applyBorder="1" applyAlignment="1" applyProtection="1">
      <alignment/>
      <protection/>
    </xf>
    <xf numFmtId="171" fontId="21" fillId="0" borderId="0" xfId="15" applyNumberFormat="1" applyFont="1" applyFill="1" applyBorder="1" applyAlignment="1" applyProtection="1">
      <alignment/>
      <protection locked="0"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>
      <alignment horizontal="center"/>
    </xf>
    <xf numFmtId="171" fontId="8" fillId="0" borderId="0" xfId="15" applyNumberFormat="1" applyFont="1" applyFill="1" applyBorder="1" applyAlignment="1" applyProtection="1">
      <alignment horizontal="center"/>
      <protection locked="0"/>
    </xf>
    <xf numFmtId="171" fontId="18" fillId="0" borderId="0" xfId="15" applyNumberFormat="1" applyFont="1" applyFill="1" applyBorder="1" applyAlignment="1" applyProtection="1">
      <alignment horizontal="center"/>
      <protection locked="0"/>
    </xf>
    <xf numFmtId="171" fontId="18" fillId="0" borderId="0" xfId="15" applyNumberFormat="1" applyFont="1" applyFill="1" applyBorder="1" applyAlignment="1">
      <alignment horizontal="center"/>
    </xf>
    <xf numFmtId="171" fontId="28" fillId="0" borderId="0" xfId="15" applyNumberFormat="1" applyFont="1" applyFill="1" applyBorder="1" applyAlignment="1" applyProtection="1">
      <alignment horizontal="center"/>
      <protection locked="0"/>
    </xf>
    <xf numFmtId="171" fontId="11" fillId="0" borderId="0" xfId="15" applyNumberFormat="1" applyFont="1" applyFill="1" applyBorder="1" applyAlignment="1">
      <alignment/>
    </xf>
    <xf numFmtId="171" fontId="7" fillId="0" borderId="0" xfId="15" applyNumberFormat="1" applyFont="1" applyFill="1" applyBorder="1" applyAlignment="1">
      <alignment horizontal="center"/>
    </xf>
    <xf numFmtId="171" fontId="8" fillId="0" borderId="5" xfId="15" applyNumberFormat="1" applyFont="1" applyFill="1" applyBorder="1" applyAlignment="1" applyProtection="1">
      <alignment horizontal="center"/>
      <protection/>
    </xf>
    <xf numFmtId="171" fontId="7" fillId="0" borderId="7" xfId="15" applyNumberFormat="1" applyFont="1" applyFill="1" applyBorder="1" applyAlignment="1">
      <alignment/>
    </xf>
    <xf numFmtId="171" fontId="7" fillId="0" borderId="8" xfId="15" applyNumberFormat="1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165" fontId="27" fillId="0" borderId="0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>
      <alignment horizontal="center"/>
    </xf>
    <xf numFmtId="167" fontId="5" fillId="0" borderId="5" xfId="0" applyNumberFormat="1" applyFont="1" applyFill="1" applyBorder="1" applyAlignment="1" applyProtection="1">
      <alignment horizontal="center"/>
      <protection/>
    </xf>
    <xf numFmtId="171" fontId="5" fillId="0" borderId="5" xfId="15" applyNumberFormat="1" applyFont="1" applyFill="1" applyBorder="1" applyAlignment="1">
      <alignment horizontal="center"/>
    </xf>
    <xf numFmtId="171" fontId="5" fillId="0" borderId="5" xfId="15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>
      <alignment horizontal="center"/>
    </xf>
    <xf numFmtId="2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/>
      <protection/>
    </xf>
    <xf numFmtId="171" fontId="5" fillId="0" borderId="5" xfId="15" applyNumberFormat="1" applyFont="1" applyFill="1" applyBorder="1" applyAlignment="1" applyProtection="1">
      <alignment horizontal="center"/>
      <protection/>
    </xf>
    <xf numFmtId="43" fontId="7" fillId="0" borderId="0" xfId="15" applyFont="1" applyFill="1" applyBorder="1" applyAlignment="1">
      <alignment/>
    </xf>
    <xf numFmtId="180" fontId="0" fillId="0" borderId="0" xfId="17" applyNumberFormat="1" applyBorder="1" applyAlignment="1">
      <alignment/>
    </xf>
    <xf numFmtId="180" fontId="0" fillId="0" borderId="0" xfId="17" applyNumberFormat="1" applyFont="1" applyBorder="1" applyAlignment="1">
      <alignment/>
    </xf>
    <xf numFmtId="180" fontId="21" fillId="0" borderId="0" xfId="17" applyNumberFormat="1" applyFont="1" applyBorder="1" applyAlignment="1">
      <alignment/>
    </xf>
    <xf numFmtId="43" fontId="7" fillId="0" borderId="0" xfId="15" applyNumberFormat="1" applyFont="1" applyFill="1" applyBorder="1" applyAlignment="1">
      <alignment/>
    </xf>
    <xf numFmtId="43" fontId="7" fillId="0" borderId="0" xfId="15" applyNumberFormat="1" applyFont="1" applyFill="1" applyBorder="1" applyAlignment="1" applyProtection="1">
      <alignment/>
      <protection locked="0"/>
    </xf>
    <xf numFmtId="43" fontId="8" fillId="0" borderId="0" xfId="15" applyNumberFormat="1" applyFont="1" applyFill="1" applyBorder="1" applyAlignment="1">
      <alignment/>
    </xf>
    <xf numFmtId="43" fontId="5" fillId="0" borderId="0" xfId="15" applyNumberFormat="1" applyFont="1" applyFill="1" applyBorder="1" applyAlignment="1" applyProtection="1">
      <alignment/>
      <protection locked="0"/>
    </xf>
    <xf numFmtId="43" fontId="5" fillId="0" borderId="0" xfId="15" applyFont="1" applyFill="1" applyBorder="1" applyAlignment="1">
      <alignment/>
    </xf>
    <xf numFmtId="43" fontId="5" fillId="0" borderId="0" xfId="15" applyFont="1" applyFill="1" applyBorder="1" applyAlignment="1" applyProtection="1">
      <alignment horizontal="center"/>
      <protection/>
    </xf>
    <xf numFmtId="43" fontId="5" fillId="0" borderId="5" xfId="15" applyFont="1" applyFill="1" applyBorder="1" applyAlignment="1" applyProtection="1">
      <alignment horizontal="center"/>
      <protection/>
    </xf>
    <xf numFmtId="43" fontId="7" fillId="0" borderId="2" xfId="15" applyFont="1" applyFill="1" applyBorder="1" applyAlignment="1">
      <alignment/>
    </xf>
    <xf numFmtId="43" fontId="7" fillId="0" borderId="5" xfId="15" applyFont="1" applyFill="1" applyBorder="1" applyAlignment="1">
      <alignment/>
    </xf>
    <xf numFmtId="43" fontId="7" fillId="0" borderId="0" xfId="15" applyFont="1" applyFill="1" applyBorder="1" applyAlignment="1" applyProtection="1">
      <alignment/>
      <protection/>
    </xf>
    <xf numFmtId="43" fontId="5" fillId="0" borderId="0" xfId="15" applyFont="1" applyFill="1" applyBorder="1" applyAlignment="1" applyProtection="1">
      <alignment/>
      <protection/>
    </xf>
    <xf numFmtId="43" fontId="19" fillId="0" borderId="0" xfId="15" applyFont="1" applyFill="1" applyBorder="1" applyAlignment="1" applyProtection="1">
      <alignment/>
      <protection/>
    </xf>
    <xf numFmtId="171" fontId="7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2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5" fillId="0" borderId="5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left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1" fontId="17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 quotePrefix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5" fillId="0" borderId="5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49" fontId="8" fillId="0" borderId="0" xfId="0" applyNumberFormat="1" applyFont="1" applyFill="1" applyBorder="1" applyAlignment="1" applyProtection="1">
      <alignment horizontal="center"/>
      <protection/>
    </xf>
    <xf numFmtId="171" fontId="7" fillId="0" borderId="0" xfId="15" applyNumberFormat="1" applyFont="1" applyFill="1" applyBorder="1" applyAlignment="1" applyProtection="1">
      <alignment horizontal="center"/>
      <protection/>
    </xf>
    <xf numFmtId="171" fontId="0" fillId="0" borderId="0" xfId="15" applyNumberFormat="1" applyFont="1" applyFill="1" applyBorder="1" applyAlignment="1" applyProtection="1">
      <alignment/>
      <protection/>
    </xf>
    <xf numFmtId="171" fontId="7" fillId="2" borderId="0" xfId="15" applyNumberFormat="1" applyFont="1" applyFill="1" applyBorder="1" applyAlignment="1" applyProtection="1">
      <alignment/>
      <protection locked="0"/>
    </xf>
    <xf numFmtId="171" fontId="0" fillId="0" borderId="0" xfId="15" applyNumberFormat="1" applyBorder="1" applyAlignment="1">
      <alignment/>
    </xf>
    <xf numFmtId="171" fontId="21" fillId="0" borderId="0" xfId="15" applyNumberFormat="1" applyFont="1" applyBorder="1" applyAlignment="1">
      <alignment/>
    </xf>
    <xf numFmtId="171" fontId="9" fillId="0" borderId="0" xfId="15" applyNumberFormat="1" applyFont="1" applyFill="1" applyBorder="1" applyAlignment="1">
      <alignment/>
    </xf>
    <xf numFmtId="171" fontId="7" fillId="0" borderId="9" xfId="15" applyNumberFormat="1" applyFont="1" applyFill="1" applyBorder="1" applyAlignment="1" applyProtection="1">
      <alignment/>
      <protection locked="0"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Border="1" applyAlignment="1" applyProtection="1">
      <alignment/>
      <protection locked="0"/>
    </xf>
    <xf numFmtId="186" fontId="7" fillId="0" borderId="0" xfId="15" applyNumberFormat="1" applyFont="1" applyFill="1" applyBorder="1" applyAlignment="1">
      <alignment/>
    </xf>
    <xf numFmtId="6" fontId="23" fillId="0" borderId="0" xfId="0" applyNumberFormat="1" applyFont="1" applyAlignment="1">
      <alignment wrapText="1"/>
    </xf>
    <xf numFmtId="6" fontId="23" fillId="0" borderId="6" xfId="0" applyNumberFormat="1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6" xfId="0" applyFont="1" applyBorder="1" applyAlignment="1">
      <alignment horizontal="right" wrapText="1"/>
    </xf>
    <xf numFmtId="0" fontId="23" fillId="0" borderId="0" xfId="0" applyFont="1" applyAlignment="1">
      <alignment horizontal="center" wrapText="1"/>
    </xf>
    <xf numFmtId="0" fontId="23" fillId="0" borderId="6" xfId="0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DGET FY2002 Reques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39"/>
  <sheetViews>
    <sheetView view="pageBreakPreview" zoomScaleNormal="150" zoomScaleSheetLayoutView="100" workbookViewId="0" topLeftCell="B1">
      <pane xSplit="7" ySplit="2" topLeftCell="I3" activePane="bottomRight" state="frozen"/>
      <selection pane="topLeft" activeCell="B1" sqref="B1"/>
      <selection pane="topRight" activeCell="G1" sqref="G1"/>
      <selection pane="bottomLeft" activeCell="B3" sqref="B3"/>
      <selection pane="bottomRight" activeCell="M1574" sqref="M1574:Q1574"/>
    </sheetView>
  </sheetViews>
  <sheetFormatPr defaultColWidth="7.00390625" defaultRowHeight="12.75"/>
  <cols>
    <col min="1" max="1" width="10.28125" style="3" bestFit="1" customWidth="1"/>
    <col min="2" max="2" width="10.140625" style="11" customWidth="1"/>
    <col min="3" max="3" width="9.57421875" style="36" bestFit="1" customWidth="1"/>
    <col min="4" max="4" width="3.00390625" style="36" customWidth="1"/>
    <col min="5" max="5" width="34.00390625" style="3" customWidth="1"/>
    <col min="6" max="6" width="4.8515625" style="19" hidden="1" customWidth="1"/>
    <col min="7" max="8" width="12.421875" style="19" hidden="1" customWidth="1"/>
    <col min="9" max="9" width="12.7109375" style="8" hidden="1" customWidth="1"/>
    <col min="10" max="10" width="12.7109375" style="9" hidden="1" customWidth="1"/>
    <col min="11" max="11" width="12.7109375" style="8" hidden="1" customWidth="1"/>
    <col min="12" max="12" width="12.7109375" style="9" hidden="1" customWidth="1"/>
    <col min="13" max="13" width="12.7109375" style="9" bestFit="1" customWidth="1"/>
    <col min="14" max="14" width="13.140625" style="9" customWidth="1"/>
    <col min="15" max="18" width="13.7109375" style="9" customWidth="1"/>
    <col min="19" max="19" width="9.7109375" style="8" customWidth="1"/>
    <col min="20" max="126" width="9.7109375" style="3" customWidth="1"/>
    <col min="127" max="16384" width="7.00390625" style="3" customWidth="1"/>
  </cols>
  <sheetData>
    <row r="1" spans="1:20" ht="12.75">
      <c r="A1" s="2" t="s">
        <v>2171</v>
      </c>
      <c r="B1" s="15"/>
      <c r="C1" s="39" t="s">
        <v>2681</v>
      </c>
      <c r="D1" s="39"/>
      <c r="E1" s="2" t="s">
        <v>2180</v>
      </c>
      <c r="F1" s="17" t="s">
        <v>2170</v>
      </c>
      <c r="G1" s="17" t="s">
        <v>2172</v>
      </c>
      <c r="H1" s="17" t="s">
        <v>2173</v>
      </c>
      <c r="I1" s="13" t="s">
        <v>2174</v>
      </c>
      <c r="J1" s="1" t="s">
        <v>2175</v>
      </c>
      <c r="K1" s="18" t="s">
        <v>725</v>
      </c>
      <c r="L1" s="14" t="s">
        <v>1420</v>
      </c>
      <c r="M1" s="14" t="s">
        <v>2006</v>
      </c>
      <c r="N1" s="14" t="s">
        <v>808</v>
      </c>
      <c r="O1" s="14" t="s">
        <v>2384</v>
      </c>
      <c r="P1" s="14" t="s">
        <v>3163</v>
      </c>
      <c r="Q1" s="14" t="s">
        <v>1308</v>
      </c>
      <c r="R1" s="14" t="s">
        <v>1307</v>
      </c>
      <c r="S1" s="8">
        <f>Revenues!$Q$121</f>
        <v>76343006.635</v>
      </c>
      <c r="T1" s="3" t="s">
        <v>1940</v>
      </c>
    </row>
    <row r="2" spans="1:20" s="111" customFormat="1" ht="12.75">
      <c r="A2" s="169" t="s">
        <v>2176</v>
      </c>
      <c r="B2" s="170" t="s">
        <v>2177</v>
      </c>
      <c r="C2" s="194" t="s">
        <v>2682</v>
      </c>
      <c r="D2" s="194"/>
      <c r="E2" s="165" t="s">
        <v>2178</v>
      </c>
      <c r="F2" s="166" t="s">
        <v>2179</v>
      </c>
      <c r="G2" s="166" t="s">
        <v>2179</v>
      </c>
      <c r="H2" s="166" t="s">
        <v>2179</v>
      </c>
      <c r="I2" s="167" t="s">
        <v>2179</v>
      </c>
      <c r="J2" s="168" t="s">
        <v>2179</v>
      </c>
      <c r="K2" s="167" t="s">
        <v>2179</v>
      </c>
      <c r="L2" s="168" t="s">
        <v>2179</v>
      </c>
      <c r="M2" s="168" t="s">
        <v>2179</v>
      </c>
      <c r="N2" s="168" t="s">
        <v>2179</v>
      </c>
      <c r="O2" s="168" t="s">
        <v>2011</v>
      </c>
      <c r="P2" s="168" t="s">
        <v>3164</v>
      </c>
      <c r="Q2" s="168" t="s">
        <v>1306</v>
      </c>
      <c r="R2" s="168" t="s">
        <v>1306</v>
      </c>
      <c r="S2" s="112">
        <f>SUM(Q1939)</f>
        <v>79176921</v>
      </c>
      <c r="T2" s="111" t="s">
        <v>1941</v>
      </c>
    </row>
    <row r="3" spans="1:18" ht="7.5" customHeight="1">
      <c r="A3" s="2"/>
      <c r="B3" s="15"/>
      <c r="C3" s="39"/>
      <c r="D3" s="39"/>
      <c r="E3" s="12"/>
      <c r="F3" s="16"/>
      <c r="G3" s="16"/>
      <c r="H3" s="16"/>
      <c r="I3" s="13"/>
      <c r="J3" s="1"/>
      <c r="K3" s="13"/>
      <c r="L3" s="1"/>
      <c r="M3" s="1"/>
      <c r="N3" s="1"/>
      <c r="O3" s="1"/>
      <c r="P3" s="1"/>
      <c r="Q3" s="1"/>
      <c r="R3" s="1"/>
    </row>
    <row r="4" spans="1:20" ht="15" customHeight="1">
      <c r="A4" s="3" t="s">
        <v>2180</v>
      </c>
      <c r="C4" s="196">
        <v>11101</v>
      </c>
      <c r="D4" s="196"/>
      <c r="E4" s="163" t="s">
        <v>2181</v>
      </c>
      <c r="S4" s="8">
        <f>SUM(S1-S2)</f>
        <v>-2833914.3649999946</v>
      </c>
      <c r="T4" s="3" t="s">
        <v>1942</v>
      </c>
    </row>
    <row r="5" spans="1:18" ht="12.75">
      <c r="A5" s="3" t="s">
        <v>2182</v>
      </c>
      <c r="B5" s="11" t="s">
        <v>2183</v>
      </c>
      <c r="C5" s="36">
        <v>511900</v>
      </c>
      <c r="E5" s="3" t="s">
        <v>2184</v>
      </c>
      <c r="F5" s="19">
        <v>200</v>
      </c>
      <c r="G5" s="19">
        <v>200</v>
      </c>
      <c r="H5" s="19">
        <v>200</v>
      </c>
      <c r="I5" s="10">
        <v>200</v>
      </c>
      <c r="J5" s="9">
        <v>200</v>
      </c>
      <c r="K5" s="10">
        <v>200</v>
      </c>
      <c r="L5" s="9">
        <v>200</v>
      </c>
      <c r="M5" s="9">
        <v>200</v>
      </c>
      <c r="N5" s="9">
        <v>200</v>
      </c>
      <c r="O5" s="9">
        <v>200</v>
      </c>
      <c r="P5" s="9">
        <v>200</v>
      </c>
      <c r="Q5" s="9">
        <v>200</v>
      </c>
      <c r="R5" s="9" t="s">
        <v>2180</v>
      </c>
    </row>
    <row r="6" spans="1:18" ht="12.75" hidden="1">
      <c r="A6" s="3" t="s">
        <v>2185</v>
      </c>
      <c r="B6" s="11">
        <v>5001.1</v>
      </c>
      <c r="E6" s="3" t="s">
        <v>2186</v>
      </c>
      <c r="F6" s="19">
        <v>0</v>
      </c>
      <c r="G6" s="19">
        <v>0</v>
      </c>
      <c r="H6" s="19">
        <v>0</v>
      </c>
      <c r="I6" s="10">
        <v>0</v>
      </c>
      <c r="J6" s="9">
        <v>0</v>
      </c>
      <c r="K6" s="10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</row>
    <row r="7" spans="1:18" ht="12.75">
      <c r="A7" s="3" t="s">
        <v>2180</v>
      </c>
      <c r="E7" s="20" t="s">
        <v>2187</v>
      </c>
      <c r="F7" s="21">
        <f aca="true" t="shared" si="0" ref="F7:L7">SUM(F5:F6)</f>
        <v>200</v>
      </c>
      <c r="G7" s="21">
        <f t="shared" si="0"/>
        <v>200</v>
      </c>
      <c r="H7" s="21">
        <f t="shared" si="0"/>
        <v>200</v>
      </c>
      <c r="I7" s="22">
        <f t="shared" si="0"/>
        <v>200</v>
      </c>
      <c r="J7" s="23">
        <f t="shared" si="0"/>
        <v>200</v>
      </c>
      <c r="K7" s="23">
        <f t="shared" si="0"/>
        <v>200</v>
      </c>
      <c r="L7" s="7">
        <f t="shared" si="0"/>
        <v>200</v>
      </c>
      <c r="M7" s="7">
        <f aca="true" t="shared" si="1" ref="M7:R7">SUM(M5:M6)</f>
        <v>200</v>
      </c>
      <c r="N7" s="7">
        <f t="shared" si="1"/>
        <v>200</v>
      </c>
      <c r="O7" s="7">
        <f t="shared" si="1"/>
        <v>200</v>
      </c>
      <c r="P7" s="7">
        <f t="shared" si="1"/>
        <v>200</v>
      </c>
      <c r="Q7" s="7">
        <f t="shared" si="1"/>
        <v>200</v>
      </c>
      <c r="R7" s="7">
        <f t="shared" si="1"/>
        <v>0</v>
      </c>
    </row>
    <row r="8" spans="3:9" ht="12.75" customHeight="1">
      <c r="C8" s="196">
        <v>11102</v>
      </c>
      <c r="D8" s="196"/>
      <c r="I8" s="10"/>
    </row>
    <row r="9" spans="1:18" ht="12.75">
      <c r="A9" s="3" t="s">
        <v>2188</v>
      </c>
      <c r="B9" s="11" t="s">
        <v>2189</v>
      </c>
      <c r="C9" s="36">
        <v>530000</v>
      </c>
      <c r="E9" s="24" t="s">
        <v>2190</v>
      </c>
      <c r="F9" s="19">
        <v>6158</v>
      </c>
      <c r="G9" s="19">
        <v>8018.65</v>
      </c>
      <c r="H9" s="19">
        <v>4394.41</v>
      </c>
      <c r="I9" s="10">
        <v>5587.35</v>
      </c>
      <c r="J9" s="9">
        <v>10999.44</v>
      </c>
      <c r="K9" s="10">
        <v>1943.89</v>
      </c>
      <c r="L9" s="10">
        <v>12354.18</v>
      </c>
      <c r="M9" s="10">
        <v>7937.88</v>
      </c>
      <c r="N9" s="10">
        <v>6024.29</v>
      </c>
      <c r="O9" s="10">
        <v>9000</v>
      </c>
      <c r="P9" s="10">
        <v>9276</v>
      </c>
      <c r="Q9" s="10">
        <v>9000</v>
      </c>
      <c r="R9" s="10" t="s">
        <v>2180</v>
      </c>
    </row>
    <row r="10" spans="1:18" ht="12.75">
      <c r="A10" s="3" t="s">
        <v>2191</v>
      </c>
      <c r="B10" s="11" t="s">
        <v>2192</v>
      </c>
      <c r="C10" s="36">
        <v>534700</v>
      </c>
      <c r="E10" s="3" t="s">
        <v>2193</v>
      </c>
      <c r="F10" s="19">
        <v>2228</v>
      </c>
      <c r="G10" s="19">
        <v>1221</v>
      </c>
      <c r="H10" s="19">
        <v>2140</v>
      </c>
      <c r="I10" s="10">
        <v>2213.55</v>
      </c>
      <c r="J10" s="9">
        <v>765</v>
      </c>
      <c r="K10" s="10">
        <v>1528.95</v>
      </c>
      <c r="L10" s="10">
        <v>1152.9</v>
      </c>
      <c r="M10" s="10">
        <v>1001.4</v>
      </c>
      <c r="N10" s="10">
        <v>1492.63</v>
      </c>
      <c r="O10" s="10">
        <v>2000</v>
      </c>
      <c r="P10" s="10">
        <v>1724</v>
      </c>
      <c r="Q10" s="10">
        <v>2000</v>
      </c>
      <c r="R10" s="10" t="s">
        <v>2180</v>
      </c>
    </row>
    <row r="11" spans="1:18" ht="12.75" hidden="1">
      <c r="A11" s="3" t="s">
        <v>2194</v>
      </c>
      <c r="B11" s="11">
        <v>5003.1</v>
      </c>
      <c r="E11" s="3" t="s">
        <v>2195</v>
      </c>
      <c r="F11" s="19">
        <v>0</v>
      </c>
      <c r="G11" s="19">
        <v>0</v>
      </c>
      <c r="H11" s="19">
        <v>0</v>
      </c>
      <c r="I11" s="10">
        <v>0</v>
      </c>
      <c r="J11" s="9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1:18" ht="12.75" hidden="1">
      <c r="A12" s="3" t="s">
        <v>2196</v>
      </c>
      <c r="B12" s="11" t="s">
        <v>2197</v>
      </c>
      <c r="E12" s="3" t="s">
        <v>2198</v>
      </c>
      <c r="F12" s="19">
        <v>0</v>
      </c>
      <c r="G12" s="19">
        <v>0</v>
      </c>
      <c r="H12" s="19">
        <v>0</v>
      </c>
      <c r="I12" s="10">
        <v>0</v>
      </c>
      <c r="J12" s="9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</row>
    <row r="13" spans="1:18" ht="12.75">
      <c r="A13" s="3" t="s">
        <v>2180</v>
      </c>
      <c r="E13" s="20" t="s">
        <v>2274</v>
      </c>
      <c r="F13" s="21">
        <f aca="true" t="shared" si="2" ref="F13:L13">SUM(F9:F12)</f>
        <v>8386</v>
      </c>
      <c r="G13" s="21">
        <f t="shared" si="2"/>
        <v>9239.65</v>
      </c>
      <c r="H13" s="21">
        <f t="shared" si="2"/>
        <v>6534.41</v>
      </c>
      <c r="I13" s="22">
        <f t="shared" si="2"/>
        <v>7800.900000000001</v>
      </c>
      <c r="J13" s="22">
        <f t="shared" si="2"/>
        <v>11764.44</v>
      </c>
      <c r="K13" s="22">
        <f t="shared" si="2"/>
        <v>3472.84</v>
      </c>
      <c r="L13" s="22">
        <f t="shared" si="2"/>
        <v>13507.08</v>
      </c>
      <c r="M13" s="22">
        <f aca="true" t="shared" si="3" ref="M13:R13">SUM(M9:M12)</f>
        <v>8939.28</v>
      </c>
      <c r="N13" s="22">
        <f t="shared" si="3"/>
        <v>7516.92</v>
      </c>
      <c r="O13" s="22">
        <f t="shared" si="3"/>
        <v>11000</v>
      </c>
      <c r="P13" s="22">
        <f t="shared" si="3"/>
        <v>11000</v>
      </c>
      <c r="Q13" s="22">
        <f t="shared" si="3"/>
        <v>11000</v>
      </c>
      <c r="R13" s="22">
        <f t="shared" si="3"/>
        <v>0</v>
      </c>
    </row>
    <row r="14" spans="9:18" ht="6" customHeight="1">
      <c r="I14" s="10"/>
      <c r="L14" s="8"/>
      <c r="M14" s="8"/>
      <c r="N14" s="8"/>
      <c r="O14" s="8"/>
      <c r="P14" s="8"/>
      <c r="Q14" s="8"/>
      <c r="R14" s="8"/>
    </row>
    <row r="15" spans="1:18" ht="12.75" hidden="1">
      <c r="A15" s="3" t="s">
        <v>2200</v>
      </c>
      <c r="B15" s="11">
        <v>5005</v>
      </c>
      <c r="E15" s="3" t="s">
        <v>2201</v>
      </c>
      <c r="F15" s="19">
        <v>0</v>
      </c>
      <c r="G15" s="19">
        <v>0</v>
      </c>
      <c r="H15" s="19">
        <v>0</v>
      </c>
      <c r="I15" s="10">
        <v>0</v>
      </c>
      <c r="J15" s="9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ht="12.75" hidden="1">
      <c r="A16" s="3" t="s">
        <v>2180</v>
      </c>
      <c r="E16" s="20" t="s">
        <v>2202</v>
      </c>
      <c r="F16" s="25">
        <v>0</v>
      </c>
      <c r="G16" s="25">
        <v>0</v>
      </c>
      <c r="H16" s="25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</row>
    <row r="17" spans="9:18" ht="12.75" hidden="1">
      <c r="I17" s="10"/>
      <c r="L17" s="8"/>
      <c r="M17" s="8"/>
      <c r="N17" s="8"/>
      <c r="O17" s="8"/>
      <c r="P17" s="8"/>
      <c r="Q17" s="8"/>
      <c r="R17" s="8"/>
    </row>
    <row r="18" spans="1:18" ht="12.75">
      <c r="A18" s="3" t="s">
        <v>2180</v>
      </c>
      <c r="E18" s="2" t="s">
        <v>2203</v>
      </c>
      <c r="F18" s="26">
        <f>SUM(F5:F16)/2</f>
        <v>8586</v>
      </c>
      <c r="G18" s="26">
        <f>SUM(G5:G16)/2</f>
        <v>9439.65</v>
      </c>
      <c r="H18" s="26">
        <f>SUM(H5:H16)/2</f>
        <v>6734.41</v>
      </c>
      <c r="I18" s="27">
        <f>SUM(I5:I16)/2</f>
        <v>8000.9000000000015</v>
      </c>
      <c r="J18" s="28">
        <f aca="true" t="shared" si="4" ref="J18:R18">SUM(J7+J13)</f>
        <v>11964.44</v>
      </c>
      <c r="K18" s="28">
        <f t="shared" si="4"/>
        <v>3672.84</v>
      </c>
      <c r="L18" s="28">
        <f t="shared" si="4"/>
        <v>13707.08</v>
      </c>
      <c r="M18" s="28">
        <f t="shared" si="4"/>
        <v>9139.28</v>
      </c>
      <c r="N18" s="28">
        <f t="shared" si="4"/>
        <v>7716.92</v>
      </c>
      <c r="O18" s="28">
        <f t="shared" si="4"/>
        <v>11200</v>
      </c>
      <c r="P18" s="28">
        <f t="shared" si="4"/>
        <v>11200</v>
      </c>
      <c r="Q18" s="28">
        <f t="shared" si="4"/>
        <v>11200</v>
      </c>
      <c r="R18" s="28">
        <f t="shared" si="4"/>
        <v>0</v>
      </c>
    </row>
    <row r="19" spans="5:18" ht="12.75">
      <c r="E19" s="2"/>
      <c r="F19" s="26"/>
      <c r="G19" s="26"/>
      <c r="H19" s="26"/>
      <c r="I19" s="27"/>
      <c r="J19" s="28"/>
      <c r="K19" s="28"/>
      <c r="L19" s="28"/>
      <c r="M19" s="28"/>
      <c r="N19" s="28"/>
      <c r="O19" s="28"/>
      <c r="P19" s="28"/>
      <c r="Q19" s="28"/>
      <c r="R19" s="28"/>
    </row>
    <row r="20" ht="12.75">
      <c r="I20" s="10"/>
    </row>
    <row r="21" spans="1:9" ht="12.75">
      <c r="A21" s="3" t="s">
        <v>2180</v>
      </c>
      <c r="E21" s="163" t="s">
        <v>2204</v>
      </c>
      <c r="I21" s="10"/>
    </row>
    <row r="22" spans="3:9" ht="12" customHeight="1">
      <c r="C22" s="196">
        <v>11621</v>
      </c>
      <c r="D22" s="196"/>
      <c r="I22" s="10"/>
    </row>
    <row r="23" spans="1:18" ht="12.75">
      <c r="A23" s="3" t="s">
        <v>2205</v>
      </c>
      <c r="B23" s="11" t="s">
        <v>2206</v>
      </c>
      <c r="C23" s="36">
        <v>511000</v>
      </c>
      <c r="E23" s="3" t="s">
        <v>2207</v>
      </c>
      <c r="F23" s="19">
        <v>43418</v>
      </c>
      <c r="G23" s="19">
        <v>4449.46</v>
      </c>
      <c r="H23" s="19">
        <v>40487.33</v>
      </c>
      <c r="I23" s="10">
        <v>45337.477065</v>
      </c>
      <c r="J23" s="9">
        <v>47369.99</v>
      </c>
      <c r="K23" s="10">
        <v>51701.11</v>
      </c>
      <c r="L23" s="9">
        <v>53469</v>
      </c>
      <c r="M23" s="9">
        <v>56177.92</v>
      </c>
      <c r="N23" s="9">
        <v>58377.41</v>
      </c>
      <c r="O23" s="9">
        <v>59661</v>
      </c>
      <c r="P23" s="9">
        <v>59661</v>
      </c>
      <c r="Q23" s="9">
        <v>59661</v>
      </c>
      <c r="R23" s="9">
        <v>0</v>
      </c>
    </row>
    <row r="24" spans="1:18" ht="12.75">
      <c r="A24" s="3" t="s">
        <v>2208</v>
      </c>
      <c r="B24" s="11" t="s">
        <v>2209</v>
      </c>
      <c r="C24" s="36">
        <v>511100</v>
      </c>
      <c r="E24" s="3" t="s">
        <v>2210</v>
      </c>
      <c r="F24" s="19">
        <v>6900</v>
      </c>
      <c r="G24" s="19">
        <v>8957.05</v>
      </c>
      <c r="H24" s="19">
        <v>9637.16</v>
      </c>
      <c r="I24" s="10">
        <v>7065.93</v>
      </c>
      <c r="J24" s="9">
        <v>7386.15</v>
      </c>
      <c r="K24" s="10">
        <v>6900</v>
      </c>
      <c r="L24" s="9">
        <v>6900</v>
      </c>
      <c r="M24" s="9">
        <v>4100</v>
      </c>
      <c r="N24" s="9">
        <v>4500</v>
      </c>
      <c r="O24" s="9">
        <v>4500</v>
      </c>
      <c r="P24" s="9">
        <v>4500</v>
      </c>
      <c r="Q24" s="9">
        <v>4500</v>
      </c>
      <c r="R24" s="9">
        <v>0</v>
      </c>
    </row>
    <row r="25" spans="1:18" ht="12.75">
      <c r="A25" s="3" t="s">
        <v>2211</v>
      </c>
      <c r="B25" s="11" t="s">
        <v>2212</v>
      </c>
      <c r="C25" s="36">
        <v>513000</v>
      </c>
      <c r="E25" s="3" t="s">
        <v>2213</v>
      </c>
      <c r="F25" s="19">
        <v>0</v>
      </c>
      <c r="G25" s="19">
        <v>898.99</v>
      </c>
      <c r="H25" s="19">
        <v>0</v>
      </c>
      <c r="I25" s="10">
        <v>36.53</v>
      </c>
      <c r="J25" s="9">
        <v>0</v>
      </c>
      <c r="K25" s="10">
        <v>1473.41</v>
      </c>
      <c r="L25" s="9">
        <v>53.77</v>
      </c>
      <c r="M25" s="9">
        <v>118.98</v>
      </c>
      <c r="N25" s="9">
        <v>98.63</v>
      </c>
      <c r="O25" s="9">
        <v>500</v>
      </c>
      <c r="P25" s="9">
        <v>250</v>
      </c>
      <c r="Q25" s="9">
        <v>500</v>
      </c>
      <c r="R25" s="9">
        <v>0</v>
      </c>
    </row>
    <row r="26" spans="1:18" ht="12.75">
      <c r="A26" s="3" t="s">
        <v>2220</v>
      </c>
      <c r="B26" s="11" t="s">
        <v>2221</v>
      </c>
      <c r="C26" s="36">
        <v>517000</v>
      </c>
      <c r="E26" s="3" t="s">
        <v>2222</v>
      </c>
      <c r="F26" s="19">
        <v>13761</v>
      </c>
      <c r="G26" s="19">
        <v>11944</v>
      </c>
      <c r="H26" s="19">
        <v>4129</v>
      </c>
      <c r="I26" s="10">
        <v>9514</v>
      </c>
      <c r="J26" s="9">
        <v>10366</v>
      </c>
      <c r="K26" s="10">
        <v>9663</v>
      </c>
      <c r="L26" s="9">
        <v>11201</v>
      </c>
      <c r="M26" s="9">
        <v>10990.05</v>
      </c>
      <c r="N26" s="9">
        <v>12989</v>
      </c>
      <c r="O26" s="9">
        <v>14642</v>
      </c>
      <c r="P26" s="9">
        <v>14642</v>
      </c>
      <c r="Q26" s="9">
        <v>15633</v>
      </c>
      <c r="R26" s="9">
        <v>0</v>
      </c>
    </row>
    <row r="27" spans="1:18" ht="12.75" hidden="1">
      <c r="A27" s="3" t="s">
        <v>2217</v>
      </c>
      <c r="B27" s="11" t="s">
        <v>2218</v>
      </c>
      <c r="E27" s="3" t="s">
        <v>2219</v>
      </c>
      <c r="F27" s="19">
        <v>24</v>
      </c>
      <c r="G27" s="19">
        <v>24</v>
      </c>
      <c r="H27" s="19">
        <v>24</v>
      </c>
      <c r="I27" s="10">
        <v>0</v>
      </c>
      <c r="J27" s="9">
        <v>0</v>
      </c>
      <c r="K27" s="10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</row>
    <row r="28" spans="1:18" ht="12.75">
      <c r="A28" s="3" t="s">
        <v>2214</v>
      </c>
      <c r="B28" s="11" t="s">
        <v>2215</v>
      </c>
      <c r="C28" s="36">
        <v>517200</v>
      </c>
      <c r="E28" s="3" t="s">
        <v>2216</v>
      </c>
      <c r="F28" s="19">
        <v>79</v>
      </c>
      <c r="G28" s="19">
        <v>59</v>
      </c>
      <c r="H28" s="19">
        <v>59</v>
      </c>
      <c r="I28" s="10">
        <v>59</v>
      </c>
      <c r="J28" s="9">
        <v>59</v>
      </c>
      <c r="K28" s="10">
        <v>59</v>
      </c>
      <c r="L28" s="9">
        <v>59</v>
      </c>
      <c r="M28" s="9">
        <v>260</v>
      </c>
      <c r="N28" s="9">
        <v>249</v>
      </c>
      <c r="O28" s="9">
        <v>236</v>
      </c>
      <c r="P28" s="9">
        <v>236</v>
      </c>
      <c r="Q28" s="9">
        <v>248</v>
      </c>
      <c r="R28" s="9">
        <v>0</v>
      </c>
    </row>
    <row r="29" spans="1:18" ht="12.75">
      <c r="A29" s="3" t="s">
        <v>2180</v>
      </c>
      <c r="E29" s="20" t="s">
        <v>2187</v>
      </c>
      <c r="F29" s="29">
        <f aca="true" t="shared" si="5" ref="F29:L29">SUM(F23:F28)</f>
        <v>64182</v>
      </c>
      <c r="G29" s="29">
        <f t="shared" si="5"/>
        <v>26332.5</v>
      </c>
      <c r="H29" s="29">
        <f t="shared" si="5"/>
        <v>54336.490000000005</v>
      </c>
      <c r="I29" s="22">
        <f t="shared" si="5"/>
        <v>62012.937065</v>
      </c>
      <c r="J29" s="22">
        <f t="shared" si="5"/>
        <v>65181.14</v>
      </c>
      <c r="K29" s="22">
        <f t="shared" si="5"/>
        <v>69796.52</v>
      </c>
      <c r="L29" s="7">
        <f t="shared" si="5"/>
        <v>71682.76999999999</v>
      </c>
      <c r="M29" s="7">
        <f aca="true" t="shared" si="6" ref="M29:R29">SUM(M23:M28)</f>
        <v>71646.95</v>
      </c>
      <c r="N29" s="23">
        <f t="shared" si="6"/>
        <v>76214.04000000001</v>
      </c>
      <c r="O29" s="7">
        <f t="shared" si="6"/>
        <v>79539</v>
      </c>
      <c r="P29" s="7">
        <f t="shared" si="6"/>
        <v>79289</v>
      </c>
      <c r="Q29" s="7">
        <f t="shared" si="6"/>
        <v>80542</v>
      </c>
      <c r="R29" s="7">
        <f t="shared" si="6"/>
        <v>0</v>
      </c>
    </row>
    <row r="30" spans="3:9" ht="12" customHeight="1">
      <c r="C30" s="196">
        <v>11622</v>
      </c>
      <c r="D30" s="196"/>
      <c r="I30" s="10"/>
    </row>
    <row r="31" spans="1:18" ht="12.75" hidden="1">
      <c r="A31" s="3" t="s">
        <v>2223</v>
      </c>
      <c r="B31" s="11" t="s">
        <v>2224</v>
      </c>
      <c r="E31" s="3" t="s">
        <v>2225</v>
      </c>
      <c r="F31" s="19">
        <v>0</v>
      </c>
      <c r="G31" s="19">
        <v>0</v>
      </c>
      <c r="H31" s="19">
        <v>0</v>
      </c>
      <c r="I31" s="10">
        <v>0</v>
      </c>
      <c r="J31" s="9">
        <v>0</v>
      </c>
      <c r="K31" s="10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</row>
    <row r="32" spans="1:18" ht="12.75">
      <c r="A32" s="3" t="s">
        <v>2226</v>
      </c>
      <c r="B32" s="11" t="s">
        <v>2227</v>
      </c>
      <c r="C32" s="36">
        <v>524500</v>
      </c>
      <c r="E32" s="3" t="s">
        <v>2228</v>
      </c>
      <c r="F32" s="19">
        <v>0</v>
      </c>
      <c r="G32" s="19">
        <v>0</v>
      </c>
      <c r="H32" s="19">
        <v>0</v>
      </c>
      <c r="I32" s="10">
        <v>74.66</v>
      </c>
      <c r="J32" s="9">
        <v>0</v>
      </c>
      <c r="K32" s="10">
        <v>0</v>
      </c>
      <c r="L32" s="9">
        <v>0</v>
      </c>
      <c r="N32" s="9">
        <v>109</v>
      </c>
      <c r="O32" s="9">
        <v>150</v>
      </c>
      <c r="P32" s="9">
        <v>150</v>
      </c>
      <c r="Q32" s="9">
        <v>150</v>
      </c>
      <c r="R32" s="9">
        <v>0</v>
      </c>
    </row>
    <row r="33" spans="1:18" ht="12.75">
      <c r="A33" s="3" t="s">
        <v>2229</v>
      </c>
      <c r="B33" s="11" t="s">
        <v>2230</v>
      </c>
      <c r="C33" s="36">
        <v>524600</v>
      </c>
      <c r="E33" s="3" t="s">
        <v>2231</v>
      </c>
      <c r="F33" s="19">
        <v>0</v>
      </c>
      <c r="G33" s="19">
        <v>0</v>
      </c>
      <c r="H33" s="19">
        <v>231.29</v>
      </c>
      <c r="I33" s="10">
        <v>0</v>
      </c>
      <c r="J33" s="9">
        <v>0</v>
      </c>
      <c r="K33" s="10">
        <v>82.42</v>
      </c>
      <c r="L33" s="9">
        <v>0</v>
      </c>
      <c r="N33" s="9">
        <v>104.77</v>
      </c>
      <c r="O33" s="9">
        <v>0</v>
      </c>
      <c r="P33" s="9">
        <v>0</v>
      </c>
      <c r="Q33" s="9">
        <v>0</v>
      </c>
      <c r="R33" s="9">
        <v>0</v>
      </c>
    </row>
    <row r="34" spans="1:18" ht="12.75">
      <c r="A34" s="3" t="s">
        <v>2232</v>
      </c>
      <c r="B34" s="11" t="s">
        <v>2233</v>
      </c>
      <c r="C34" s="36">
        <v>524700</v>
      </c>
      <c r="E34" s="3" t="s">
        <v>2234</v>
      </c>
      <c r="F34" s="19">
        <v>3656</v>
      </c>
      <c r="G34" s="19">
        <v>5885.08</v>
      </c>
      <c r="H34" s="19">
        <v>6336.66</v>
      </c>
      <c r="I34" s="10">
        <v>10007.95</v>
      </c>
      <c r="J34" s="9">
        <v>9000</v>
      </c>
      <c r="K34" s="10">
        <v>7147.18</v>
      </c>
      <c r="L34" s="9">
        <v>9829.9</v>
      </c>
      <c r="M34" s="9">
        <v>11523.98</v>
      </c>
      <c r="N34" s="9">
        <v>10688.18</v>
      </c>
      <c r="O34" s="9">
        <v>18000</v>
      </c>
      <c r="P34" s="9">
        <v>10755</v>
      </c>
      <c r="Q34" s="9">
        <v>18000</v>
      </c>
      <c r="R34" s="9">
        <v>0</v>
      </c>
    </row>
    <row r="35" spans="1:18" ht="12.75">
      <c r="A35" s="3" t="s">
        <v>2235</v>
      </c>
      <c r="B35" s="11" t="s">
        <v>2236</v>
      </c>
      <c r="C35" s="36">
        <v>527100</v>
      </c>
      <c r="E35" s="3" t="s">
        <v>2237</v>
      </c>
      <c r="F35" s="19">
        <v>380</v>
      </c>
      <c r="G35" s="19">
        <v>920</v>
      </c>
      <c r="H35" s="19">
        <v>1020</v>
      </c>
      <c r="I35" s="10">
        <v>1510</v>
      </c>
      <c r="J35" s="9">
        <v>740</v>
      </c>
      <c r="K35" s="10">
        <v>1250</v>
      </c>
      <c r="L35" s="9">
        <v>450</v>
      </c>
      <c r="M35" s="9">
        <v>600</v>
      </c>
      <c r="N35" s="9">
        <v>1200</v>
      </c>
      <c r="O35" s="9">
        <v>700</v>
      </c>
      <c r="P35" s="9">
        <v>750</v>
      </c>
      <c r="Q35" s="9">
        <v>400</v>
      </c>
      <c r="R35" s="9">
        <v>0</v>
      </c>
    </row>
    <row r="36" spans="1:18" ht="12.75">
      <c r="A36" s="3" t="s">
        <v>2242</v>
      </c>
      <c r="B36" s="11" t="s">
        <v>2243</v>
      </c>
      <c r="C36" s="36">
        <v>530600</v>
      </c>
      <c r="E36" s="3" t="s">
        <v>2244</v>
      </c>
      <c r="F36" s="19">
        <v>250</v>
      </c>
      <c r="G36" s="19">
        <v>2517</v>
      </c>
      <c r="H36" s="19">
        <v>1050</v>
      </c>
      <c r="I36" s="10">
        <v>1708.93</v>
      </c>
      <c r="J36" s="9">
        <v>994</v>
      </c>
      <c r="K36" s="10">
        <v>2170</v>
      </c>
      <c r="L36" s="9">
        <v>925</v>
      </c>
      <c r="M36" s="9">
        <v>1125</v>
      </c>
      <c r="N36" s="9">
        <v>225</v>
      </c>
      <c r="O36" s="9">
        <v>1350</v>
      </c>
      <c r="P36" s="9">
        <v>1250</v>
      </c>
      <c r="Q36" s="9">
        <v>1350</v>
      </c>
      <c r="R36" s="9">
        <v>0</v>
      </c>
    </row>
    <row r="37" spans="1:18" ht="12.75">
      <c r="A37" s="3" t="s">
        <v>2248</v>
      </c>
      <c r="B37" s="11" t="s">
        <v>2252</v>
      </c>
      <c r="C37" s="36">
        <v>534500</v>
      </c>
      <c r="E37" s="3" t="s">
        <v>2195</v>
      </c>
      <c r="F37" s="19">
        <v>2454</v>
      </c>
      <c r="G37" s="19">
        <v>2616.01</v>
      </c>
      <c r="H37" s="19">
        <v>2786.78</v>
      </c>
      <c r="I37" s="10">
        <v>2945.76</v>
      </c>
      <c r="J37" s="9">
        <v>2880.49</v>
      </c>
      <c r="K37" s="10">
        <v>3291.15</v>
      </c>
      <c r="L37" s="9">
        <v>3263.38</v>
      </c>
      <c r="M37" s="9">
        <v>3317.45</v>
      </c>
      <c r="N37" s="9">
        <v>3591.94</v>
      </c>
      <c r="O37" s="9">
        <v>4200</v>
      </c>
      <c r="P37" s="9">
        <v>5961</v>
      </c>
      <c r="Q37" s="9">
        <v>4200</v>
      </c>
      <c r="R37" s="9">
        <v>0</v>
      </c>
    </row>
    <row r="38" spans="1:18" ht="12.75">
      <c r="A38" s="3" t="s">
        <v>2245</v>
      </c>
      <c r="B38" s="11" t="s">
        <v>2246</v>
      </c>
      <c r="C38" s="36">
        <v>534600</v>
      </c>
      <c r="E38" s="3" t="s">
        <v>2247</v>
      </c>
      <c r="F38" s="19">
        <v>5437</v>
      </c>
      <c r="G38" s="19">
        <v>10721.3</v>
      </c>
      <c r="H38" s="19">
        <v>8799.91</v>
      </c>
      <c r="I38" s="10">
        <v>6189.35</v>
      </c>
      <c r="J38" s="9">
        <v>10322.32</v>
      </c>
      <c r="K38" s="10">
        <v>8144.26</v>
      </c>
      <c r="L38" s="9">
        <v>7494.75</v>
      </c>
      <c r="M38" s="9">
        <v>4865.8</v>
      </c>
      <c r="N38" s="9">
        <v>4178.86</v>
      </c>
      <c r="O38" s="9">
        <v>6000</v>
      </c>
      <c r="P38" s="9">
        <v>6000</v>
      </c>
      <c r="Q38" s="9">
        <v>6000</v>
      </c>
      <c r="R38" s="9">
        <v>0</v>
      </c>
    </row>
    <row r="39" spans="1:18" ht="12.75">
      <c r="A39" s="3" t="s">
        <v>2238</v>
      </c>
      <c r="B39" s="11" t="s">
        <v>2239</v>
      </c>
      <c r="C39" s="36">
        <v>538100</v>
      </c>
      <c r="E39" s="3" t="s">
        <v>2240</v>
      </c>
      <c r="F39" s="19">
        <v>7587</v>
      </c>
      <c r="G39" s="19">
        <v>23712.01</v>
      </c>
      <c r="H39" s="19">
        <v>23767.84</v>
      </c>
      <c r="I39" s="10">
        <v>32878.92</v>
      </c>
      <c r="J39" s="9">
        <v>19411.61</v>
      </c>
      <c r="K39" s="10">
        <v>26383.29</v>
      </c>
      <c r="L39" s="9">
        <v>25245.9</v>
      </c>
      <c r="M39" s="9">
        <v>40922.69</v>
      </c>
      <c r="N39" s="9">
        <v>22922.98</v>
      </c>
      <c r="O39" s="9">
        <v>40000</v>
      </c>
      <c r="P39" s="9">
        <v>35000</v>
      </c>
      <c r="Q39" s="9">
        <v>40000</v>
      </c>
      <c r="R39" s="9">
        <v>0</v>
      </c>
    </row>
    <row r="40" spans="1:18" ht="12.75" hidden="1">
      <c r="A40" s="3" t="s">
        <v>2253</v>
      </c>
      <c r="B40" s="11" t="s">
        <v>2254</v>
      </c>
      <c r="E40" s="3" t="s">
        <v>2255</v>
      </c>
      <c r="F40" s="19">
        <v>579</v>
      </c>
      <c r="G40" s="19">
        <v>537.02</v>
      </c>
      <c r="H40" s="19">
        <v>0</v>
      </c>
      <c r="I40" s="10">
        <v>0</v>
      </c>
      <c r="J40" s="9">
        <v>0</v>
      </c>
      <c r="K40" s="10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</row>
    <row r="41" spans="1:18" ht="12.75">
      <c r="A41" s="3" t="s">
        <v>2256</v>
      </c>
      <c r="B41" s="11" t="s">
        <v>2257</v>
      </c>
      <c r="C41" s="36">
        <v>542100</v>
      </c>
      <c r="E41" s="3" t="s">
        <v>2258</v>
      </c>
      <c r="F41" s="19">
        <v>166</v>
      </c>
      <c r="G41" s="19">
        <v>387.92</v>
      </c>
      <c r="H41" s="19">
        <v>437.71</v>
      </c>
      <c r="I41" s="10">
        <v>-980.68</v>
      </c>
      <c r="J41" s="9">
        <v>1083.35</v>
      </c>
      <c r="K41" s="10">
        <v>354.16</v>
      </c>
      <c r="L41" s="9">
        <v>401.22</v>
      </c>
      <c r="M41" s="9">
        <v>44.41</v>
      </c>
      <c r="N41" s="9">
        <v>303.72</v>
      </c>
      <c r="O41" s="9">
        <v>350</v>
      </c>
      <c r="P41" s="9">
        <v>350</v>
      </c>
      <c r="Q41" s="9">
        <v>350</v>
      </c>
      <c r="R41" s="9">
        <v>0</v>
      </c>
    </row>
    <row r="42" spans="1:18" ht="12.75">
      <c r="A42" s="3" t="s">
        <v>2259</v>
      </c>
      <c r="B42" s="11" t="s">
        <v>2260</v>
      </c>
      <c r="C42" s="36">
        <v>549000</v>
      </c>
      <c r="E42" s="3" t="s">
        <v>2261</v>
      </c>
      <c r="F42" s="19">
        <v>58</v>
      </c>
      <c r="G42" s="19">
        <v>169.38</v>
      </c>
      <c r="H42" s="19">
        <v>382.83</v>
      </c>
      <c r="I42" s="10">
        <v>463.07</v>
      </c>
      <c r="J42" s="9">
        <v>228.41</v>
      </c>
      <c r="K42" s="10">
        <v>315.75</v>
      </c>
      <c r="L42" s="9">
        <v>-27.38</v>
      </c>
      <c r="M42" s="9">
        <v>412.03</v>
      </c>
      <c r="N42" s="9">
        <v>193.13</v>
      </c>
      <c r="O42" s="9">
        <v>400</v>
      </c>
      <c r="P42" s="9">
        <v>400</v>
      </c>
      <c r="Q42" s="9">
        <v>400</v>
      </c>
      <c r="R42" s="9">
        <v>0</v>
      </c>
    </row>
    <row r="43" spans="1:14" ht="12.75" hidden="1">
      <c r="A43" s="3" t="s">
        <v>2262</v>
      </c>
      <c r="B43" s="11" t="s">
        <v>2263</v>
      </c>
      <c r="E43" s="3" t="s">
        <v>2264</v>
      </c>
      <c r="F43" s="19">
        <v>0</v>
      </c>
      <c r="G43" s="19">
        <v>0</v>
      </c>
      <c r="H43" s="19">
        <v>132.9</v>
      </c>
      <c r="I43" s="10">
        <v>0</v>
      </c>
      <c r="J43" s="9">
        <v>75</v>
      </c>
      <c r="K43" s="10">
        <v>0</v>
      </c>
      <c r="L43" s="9">
        <v>0</v>
      </c>
      <c r="M43" s="9">
        <v>0</v>
      </c>
      <c r="N43" s="9">
        <v>0</v>
      </c>
    </row>
    <row r="44" spans="1:18" ht="12.75">
      <c r="A44" s="3" t="s">
        <v>2265</v>
      </c>
      <c r="B44" s="11" t="s">
        <v>2266</v>
      </c>
      <c r="C44" s="36">
        <v>558300</v>
      </c>
      <c r="E44" s="3" t="s">
        <v>2267</v>
      </c>
      <c r="F44" s="19">
        <v>566</v>
      </c>
      <c r="G44" s="19">
        <v>204.41</v>
      </c>
      <c r="H44" s="19">
        <v>435.64</v>
      </c>
      <c r="I44" s="10">
        <v>115.37</v>
      </c>
      <c r="J44" s="9">
        <v>400.9</v>
      </c>
      <c r="K44" s="10">
        <v>370.65</v>
      </c>
      <c r="L44" s="9">
        <v>-704.77</v>
      </c>
      <c r="M44" s="9">
        <v>-283.4</v>
      </c>
      <c r="N44" s="9">
        <v>307.25</v>
      </c>
      <c r="O44" s="9">
        <v>1000</v>
      </c>
      <c r="P44" s="9">
        <v>1000</v>
      </c>
      <c r="Q44" s="9">
        <v>1000</v>
      </c>
      <c r="R44" s="9">
        <v>0</v>
      </c>
    </row>
    <row r="45" spans="1:18" ht="12.75">
      <c r="A45" s="3" t="s">
        <v>2268</v>
      </c>
      <c r="B45" s="11" t="s">
        <v>2269</v>
      </c>
      <c r="C45" s="36">
        <v>571000</v>
      </c>
      <c r="E45" s="3" t="s">
        <v>2270</v>
      </c>
      <c r="F45" s="19">
        <v>30</v>
      </c>
      <c r="G45" s="19">
        <v>43.4</v>
      </c>
      <c r="H45" s="19">
        <v>357</v>
      </c>
      <c r="I45" s="10">
        <v>250</v>
      </c>
      <c r="J45" s="9">
        <v>618.44</v>
      </c>
      <c r="K45" s="10">
        <v>385</v>
      </c>
      <c r="L45" s="9">
        <v>635.01</v>
      </c>
      <c r="M45" s="9">
        <v>542.84</v>
      </c>
      <c r="N45" s="9">
        <v>562.42</v>
      </c>
      <c r="O45" s="9">
        <v>600</v>
      </c>
      <c r="P45" s="9">
        <v>600</v>
      </c>
      <c r="Q45" s="9">
        <v>600</v>
      </c>
      <c r="R45" s="9">
        <v>0</v>
      </c>
    </row>
    <row r="46" spans="1:18" ht="12.75">
      <c r="A46" s="3" t="s">
        <v>2271</v>
      </c>
      <c r="B46" s="11" t="s">
        <v>2272</v>
      </c>
      <c r="C46" s="36">
        <v>573000</v>
      </c>
      <c r="E46" s="3" t="s">
        <v>2273</v>
      </c>
      <c r="F46" s="19">
        <v>0</v>
      </c>
      <c r="G46" s="19">
        <v>25</v>
      </c>
      <c r="H46" s="19">
        <v>165</v>
      </c>
      <c r="I46" s="10">
        <v>150</v>
      </c>
      <c r="J46" s="9">
        <v>20</v>
      </c>
      <c r="K46" s="10">
        <v>25</v>
      </c>
      <c r="L46" s="9">
        <v>0</v>
      </c>
      <c r="M46" s="9">
        <v>150</v>
      </c>
      <c r="N46" s="9">
        <v>0</v>
      </c>
      <c r="O46" s="9">
        <v>200</v>
      </c>
      <c r="P46" s="9">
        <v>200</v>
      </c>
      <c r="Q46" s="9">
        <v>200</v>
      </c>
      <c r="R46" s="9">
        <v>0</v>
      </c>
    </row>
    <row r="47" spans="1:18" ht="12.75">
      <c r="A47" s="3" t="s">
        <v>2180</v>
      </c>
      <c r="E47" s="20" t="s">
        <v>2274</v>
      </c>
      <c r="F47" s="21">
        <f aca="true" t="shared" si="7" ref="F47:K47">SUM(F45:F46)</f>
        <v>30</v>
      </c>
      <c r="G47" s="21">
        <f t="shared" si="7"/>
        <v>68.4</v>
      </c>
      <c r="H47" s="21">
        <f t="shared" si="7"/>
        <v>522</v>
      </c>
      <c r="I47" s="22">
        <f t="shared" si="7"/>
        <v>400</v>
      </c>
      <c r="J47" s="23">
        <f t="shared" si="7"/>
        <v>638.44</v>
      </c>
      <c r="K47" s="23">
        <f t="shared" si="7"/>
        <v>410</v>
      </c>
      <c r="L47" s="7">
        <f>SUM(L32:L46)</f>
        <v>47513.01000000001</v>
      </c>
      <c r="M47" s="7">
        <f aca="true" t="shared" si="8" ref="M47:R47">SUM(M32:M46)</f>
        <v>63220.799999999996</v>
      </c>
      <c r="N47" s="7">
        <f t="shared" si="8"/>
        <v>44387.24999999999</v>
      </c>
      <c r="O47" s="7">
        <f t="shared" si="8"/>
        <v>72950</v>
      </c>
      <c r="P47" s="7">
        <f t="shared" si="8"/>
        <v>62416</v>
      </c>
      <c r="Q47" s="7">
        <f t="shared" si="8"/>
        <v>72650</v>
      </c>
      <c r="R47" s="7">
        <f t="shared" si="8"/>
        <v>0</v>
      </c>
    </row>
    <row r="48" ht="12.75" hidden="1">
      <c r="I48" s="10"/>
    </row>
    <row r="49" spans="1:9" ht="12.75" hidden="1">
      <c r="A49" s="3" t="s">
        <v>2275</v>
      </c>
      <c r="E49" s="3" t="s">
        <v>2276</v>
      </c>
      <c r="F49" s="19">
        <v>0</v>
      </c>
      <c r="G49" s="19">
        <v>0</v>
      </c>
      <c r="H49" s="19">
        <v>0</v>
      </c>
      <c r="I49" s="10">
        <v>0</v>
      </c>
    </row>
    <row r="50" spans="1:10" ht="12.75" hidden="1">
      <c r="A50" s="3" t="s">
        <v>2180</v>
      </c>
      <c r="E50" s="20" t="s">
        <v>2277</v>
      </c>
      <c r="F50" s="25">
        <f>SUM(F49)</f>
        <v>0</v>
      </c>
      <c r="G50" s="25">
        <f>SUM(G49)</f>
        <v>0</v>
      </c>
      <c r="H50" s="25">
        <f>SUM(H49)</f>
        <v>0</v>
      </c>
      <c r="I50" s="23">
        <f>SUM(I49)</f>
        <v>0</v>
      </c>
      <c r="J50" s="7"/>
    </row>
    <row r="51" spans="5:10" ht="8.25" customHeight="1">
      <c r="E51" s="20"/>
      <c r="F51" s="25"/>
      <c r="G51" s="25"/>
      <c r="H51" s="25"/>
      <c r="I51" s="23"/>
      <c r="J51" s="7"/>
    </row>
    <row r="52" spans="5:18" ht="12.75">
      <c r="E52" s="30" t="s">
        <v>2278</v>
      </c>
      <c r="F52" s="31">
        <f>SUM(F23:F50)/2</f>
        <v>74778.5</v>
      </c>
      <c r="G52" s="31">
        <f>SUM(G23:G50)/2</f>
        <v>50235.965</v>
      </c>
      <c r="H52" s="31">
        <f>SUM(H23:H50)/2</f>
        <v>77549.27</v>
      </c>
      <c r="I52" s="28">
        <f>SUM(I23:I50)/2</f>
        <v>89869.60206500001</v>
      </c>
      <c r="J52" s="28" t="e">
        <f>SUM(J29+#REF!+#REF!+J47+J50)</f>
        <v>#REF!</v>
      </c>
      <c r="K52" s="28" t="e">
        <f>SUM(K29+#REF!+#REF!+K47+K50)</f>
        <v>#REF!</v>
      </c>
      <c r="L52" s="32">
        <f>SUM(L29+L47)</f>
        <v>119195.78</v>
      </c>
      <c r="M52" s="32">
        <f aca="true" t="shared" si="9" ref="M52:R52">SUM(M29+M47)</f>
        <v>134867.75</v>
      </c>
      <c r="N52" s="32">
        <f t="shared" si="9"/>
        <v>120601.29000000001</v>
      </c>
      <c r="O52" s="32">
        <f t="shared" si="9"/>
        <v>152489</v>
      </c>
      <c r="P52" s="32">
        <f t="shared" si="9"/>
        <v>141705</v>
      </c>
      <c r="Q52" s="32">
        <f t="shared" si="9"/>
        <v>153192</v>
      </c>
      <c r="R52" s="32">
        <f t="shared" si="9"/>
        <v>0</v>
      </c>
    </row>
    <row r="53" spans="5:10" ht="12.75">
      <c r="E53" s="30"/>
      <c r="F53" s="31"/>
      <c r="G53" s="31"/>
      <c r="H53" s="31"/>
      <c r="I53" s="28"/>
      <c r="J53" s="32"/>
    </row>
    <row r="54" spans="2:10" ht="15" hidden="1">
      <c r="B54" s="33" t="s">
        <v>2241</v>
      </c>
      <c r="C54" s="195"/>
      <c r="D54" s="195"/>
      <c r="E54" s="34" t="s">
        <v>2279</v>
      </c>
      <c r="F54" s="31"/>
      <c r="G54" s="31"/>
      <c r="H54" s="31"/>
      <c r="I54" s="28"/>
      <c r="J54" s="32"/>
    </row>
    <row r="55" spans="1:9" ht="12.75">
      <c r="A55" s="3" t="s">
        <v>2180</v>
      </c>
      <c r="E55" s="163" t="s">
        <v>2280</v>
      </c>
      <c r="I55" s="10"/>
    </row>
    <row r="56" spans="3:9" ht="12.75">
      <c r="C56" s="196">
        <v>11611</v>
      </c>
      <c r="D56" s="196"/>
      <c r="I56" s="10"/>
    </row>
    <row r="57" spans="1:18" ht="12.75">
      <c r="A57" s="3" t="s">
        <v>2283</v>
      </c>
      <c r="B57" s="11" t="s">
        <v>2284</v>
      </c>
      <c r="C57" s="36">
        <v>511000</v>
      </c>
      <c r="E57" s="3" t="s">
        <v>2207</v>
      </c>
      <c r="F57" s="19">
        <v>24536</v>
      </c>
      <c r="G57" s="19">
        <v>26885.09</v>
      </c>
      <c r="H57" s="19">
        <v>14619.98</v>
      </c>
      <c r="I57" s="10">
        <v>22156.28</v>
      </c>
      <c r="J57" s="9">
        <v>25776.22</v>
      </c>
      <c r="K57" s="10">
        <v>25621.07</v>
      </c>
      <c r="L57" s="9">
        <v>27923.21</v>
      </c>
      <c r="M57" s="9">
        <v>28642</v>
      </c>
      <c r="N57" s="9">
        <v>31443.39</v>
      </c>
      <c r="O57" s="9">
        <v>31510</v>
      </c>
      <c r="P57" s="9">
        <v>31510</v>
      </c>
      <c r="Q57" s="9">
        <v>31510</v>
      </c>
      <c r="R57" s="9">
        <v>0</v>
      </c>
    </row>
    <row r="58" spans="1:18" ht="12.75">
      <c r="A58" s="3" t="s">
        <v>2285</v>
      </c>
      <c r="B58" s="11" t="s">
        <v>2286</v>
      </c>
      <c r="C58" s="36">
        <v>511100</v>
      </c>
      <c r="E58" s="3" t="s">
        <v>2210</v>
      </c>
      <c r="F58" s="19">
        <v>8621</v>
      </c>
      <c r="G58" s="19">
        <v>14403.19</v>
      </c>
      <c r="H58" s="19">
        <v>12647.13</v>
      </c>
      <c r="I58" s="10">
        <v>13183.77</v>
      </c>
      <c r="J58" s="9">
        <v>13228.39</v>
      </c>
      <c r="K58" s="10">
        <v>11402.05</v>
      </c>
      <c r="L58" s="9">
        <v>11621.62</v>
      </c>
      <c r="M58" s="9">
        <v>4704</v>
      </c>
      <c r="N58" s="9">
        <v>0</v>
      </c>
      <c r="O58" s="9">
        <v>13250</v>
      </c>
      <c r="P58" s="9">
        <v>13250</v>
      </c>
      <c r="Q58" s="9">
        <v>13250</v>
      </c>
      <c r="R58" s="9">
        <v>0</v>
      </c>
    </row>
    <row r="59" spans="1:18" ht="12.75">
      <c r="A59" s="3" t="s">
        <v>2281</v>
      </c>
      <c r="B59" s="11" t="s">
        <v>2282</v>
      </c>
      <c r="C59" s="36">
        <v>511900</v>
      </c>
      <c r="E59" s="3" t="s">
        <v>2184</v>
      </c>
      <c r="F59" s="19">
        <v>58602</v>
      </c>
      <c r="G59" s="19">
        <v>60649.5</v>
      </c>
      <c r="H59" s="19">
        <v>62482.88</v>
      </c>
      <c r="I59" s="10">
        <v>64936.7</v>
      </c>
      <c r="J59" s="9">
        <v>66896.39</v>
      </c>
      <c r="K59" s="10">
        <v>68941.45</v>
      </c>
      <c r="L59" s="9">
        <v>69630.08</v>
      </c>
      <c r="M59" s="9">
        <v>70325.63</v>
      </c>
      <c r="N59" s="9">
        <v>72435.33</v>
      </c>
      <c r="O59" s="9">
        <v>74608</v>
      </c>
      <c r="P59" s="9">
        <v>74608</v>
      </c>
      <c r="Q59" s="9">
        <v>74608</v>
      </c>
      <c r="R59" s="9">
        <v>0</v>
      </c>
    </row>
    <row r="60" spans="1:18" ht="12.75">
      <c r="A60" s="35" t="s">
        <v>612</v>
      </c>
      <c r="B60" s="11" t="s">
        <v>2287</v>
      </c>
      <c r="C60" s="36">
        <v>514800</v>
      </c>
      <c r="E60" s="3" t="s">
        <v>2288</v>
      </c>
      <c r="F60" s="19">
        <v>0</v>
      </c>
      <c r="G60" s="19">
        <v>225</v>
      </c>
      <c r="H60" s="19">
        <v>46.87</v>
      </c>
      <c r="I60" s="10">
        <v>0</v>
      </c>
      <c r="J60" s="9">
        <v>0</v>
      </c>
      <c r="K60" s="10">
        <v>0</v>
      </c>
      <c r="L60" s="9">
        <v>0</v>
      </c>
      <c r="M60" s="9">
        <v>0</v>
      </c>
      <c r="N60" s="9">
        <v>275</v>
      </c>
      <c r="O60" s="9">
        <v>275</v>
      </c>
      <c r="P60" s="9">
        <v>275</v>
      </c>
      <c r="Q60" s="9">
        <v>275</v>
      </c>
      <c r="R60" s="9">
        <v>0</v>
      </c>
    </row>
    <row r="61" spans="1:18" ht="12.75">
      <c r="A61" s="3" t="s">
        <v>2294</v>
      </c>
      <c r="B61" s="11" t="s">
        <v>2295</v>
      </c>
      <c r="C61" s="36">
        <v>517000</v>
      </c>
      <c r="E61" s="3" t="s">
        <v>2222</v>
      </c>
      <c r="F61" s="19">
        <v>7508</v>
      </c>
      <c r="G61" s="19">
        <v>7132</v>
      </c>
      <c r="H61" s="19">
        <v>0</v>
      </c>
      <c r="I61" s="10">
        <v>3978</v>
      </c>
      <c r="J61" s="9">
        <v>5495</v>
      </c>
      <c r="K61" s="10">
        <v>6960</v>
      </c>
      <c r="L61" s="9">
        <v>5843</v>
      </c>
      <c r="M61" s="9">
        <v>5734.89</v>
      </c>
      <c r="N61" s="9">
        <v>13557</v>
      </c>
      <c r="O61" s="9">
        <v>15342</v>
      </c>
      <c r="P61" s="9">
        <v>15342</v>
      </c>
      <c r="Q61" s="9">
        <v>16381</v>
      </c>
      <c r="R61" s="9">
        <v>0</v>
      </c>
    </row>
    <row r="62" spans="1:18" ht="12.75" hidden="1">
      <c r="A62" s="3" t="s">
        <v>2292</v>
      </c>
      <c r="B62" s="11" t="s">
        <v>2293</v>
      </c>
      <c r="E62" s="3" t="s">
        <v>2219</v>
      </c>
      <c r="F62" s="19">
        <v>72</v>
      </c>
      <c r="G62" s="19">
        <v>72</v>
      </c>
      <c r="H62" s="19">
        <v>72</v>
      </c>
      <c r="I62" s="10">
        <v>0</v>
      </c>
      <c r="J62" s="9">
        <v>0</v>
      </c>
      <c r="K62" s="10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</row>
    <row r="63" spans="1:18" ht="12.75">
      <c r="A63" s="3" t="s">
        <v>2289</v>
      </c>
      <c r="B63" s="11" t="s">
        <v>2290</v>
      </c>
      <c r="C63" s="36">
        <v>517200</v>
      </c>
      <c r="E63" s="3" t="s">
        <v>2291</v>
      </c>
      <c r="F63" s="19">
        <v>248</v>
      </c>
      <c r="G63" s="19">
        <v>186</v>
      </c>
      <c r="H63" s="19">
        <v>186</v>
      </c>
      <c r="I63" s="10">
        <v>186</v>
      </c>
      <c r="J63" s="9">
        <v>186</v>
      </c>
      <c r="K63" s="10">
        <v>186</v>
      </c>
      <c r="L63" s="9">
        <v>186</v>
      </c>
      <c r="M63" s="9">
        <v>519</v>
      </c>
      <c r="N63" s="9">
        <v>497</v>
      </c>
      <c r="O63" s="9">
        <v>472</v>
      </c>
      <c r="P63" s="9">
        <v>472</v>
      </c>
      <c r="Q63" s="9">
        <v>496</v>
      </c>
      <c r="R63" s="9">
        <v>0</v>
      </c>
    </row>
    <row r="64" spans="1:18" ht="12.75">
      <c r="A64" s="3" t="s">
        <v>2296</v>
      </c>
      <c r="B64" s="11" t="s">
        <v>2297</v>
      </c>
      <c r="C64" s="36">
        <v>517800</v>
      </c>
      <c r="E64" s="3" t="s">
        <v>2298</v>
      </c>
      <c r="F64" s="19">
        <v>289</v>
      </c>
      <c r="G64" s="19">
        <v>302</v>
      </c>
      <c r="H64" s="19">
        <v>438</v>
      </c>
      <c r="I64" s="10">
        <v>50</v>
      </c>
      <c r="J64" s="9">
        <v>290</v>
      </c>
      <c r="K64" s="10">
        <f>320</f>
        <v>320</v>
      </c>
      <c r="L64" s="9">
        <v>320</v>
      </c>
      <c r="M64" s="9">
        <v>325</v>
      </c>
      <c r="N64" s="9">
        <v>351</v>
      </c>
      <c r="O64" s="9">
        <v>349</v>
      </c>
      <c r="P64" s="9">
        <v>349</v>
      </c>
      <c r="Q64" s="9">
        <v>591</v>
      </c>
      <c r="R64" s="9">
        <v>0</v>
      </c>
    </row>
    <row r="65" spans="1:18" ht="12.75">
      <c r="A65" s="3" t="s">
        <v>2180</v>
      </c>
      <c r="E65" s="20" t="s">
        <v>2187</v>
      </c>
      <c r="F65" s="21">
        <f aca="true" t="shared" si="10" ref="F65:L65">SUM(F57:F64)</f>
        <v>99876</v>
      </c>
      <c r="G65" s="21">
        <f t="shared" si="10"/>
        <v>109854.78</v>
      </c>
      <c r="H65" s="21">
        <f t="shared" si="10"/>
        <v>90492.85999999999</v>
      </c>
      <c r="I65" s="22">
        <f t="shared" si="10"/>
        <v>104490.75</v>
      </c>
      <c r="J65" s="23">
        <f t="shared" si="10"/>
        <v>111872</v>
      </c>
      <c r="K65" s="23">
        <f t="shared" si="10"/>
        <v>113430.56999999999</v>
      </c>
      <c r="L65" s="7">
        <f t="shared" si="10"/>
        <v>115523.91</v>
      </c>
      <c r="M65" s="7">
        <f aca="true" t="shared" si="11" ref="M65:R65">SUM(M57:M64)</f>
        <v>110250.52</v>
      </c>
      <c r="N65" s="7">
        <f t="shared" si="11"/>
        <v>118558.72</v>
      </c>
      <c r="O65" s="7">
        <f t="shared" si="11"/>
        <v>135806</v>
      </c>
      <c r="P65" s="7">
        <f t="shared" si="11"/>
        <v>135806</v>
      </c>
      <c r="Q65" s="7">
        <f t="shared" si="11"/>
        <v>137111</v>
      </c>
      <c r="R65" s="7">
        <f t="shared" si="11"/>
        <v>0</v>
      </c>
    </row>
    <row r="66" spans="3:9" ht="12" customHeight="1">
      <c r="C66" s="196">
        <v>11612</v>
      </c>
      <c r="D66" s="196"/>
      <c r="I66" s="10"/>
    </row>
    <row r="67" spans="1:18" ht="12.75">
      <c r="A67" s="3" t="s">
        <v>2299</v>
      </c>
      <c r="B67" s="11" t="s">
        <v>2300</v>
      </c>
      <c r="C67" s="36">
        <v>524500</v>
      </c>
      <c r="E67" s="3" t="s">
        <v>2301</v>
      </c>
      <c r="F67" s="19">
        <v>112</v>
      </c>
      <c r="G67" s="19">
        <v>244.46</v>
      </c>
      <c r="H67" s="19">
        <v>594.95</v>
      </c>
      <c r="I67" s="10">
        <v>125.5</v>
      </c>
      <c r="J67" s="9">
        <v>257</v>
      </c>
      <c r="K67" s="10">
        <v>934</v>
      </c>
      <c r="L67" s="9">
        <v>476.16</v>
      </c>
      <c r="M67" s="9">
        <v>225</v>
      </c>
      <c r="N67" s="9">
        <v>195</v>
      </c>
      <c r="O67" s="9">
        <v>400</v>
      </c>
      <c r="P67" s="9">
        <v>400</v>
      </c>
      <c r="Q67" s="9">
        <v>400</v>
      </c>
      <c r="R67" s="9">
        <v>0</v>
      </c>
    </row>
    <row r="68" spans="1:18" ht="12.75">
      <c r="A68" s="3" t="s">
        <v>2302</v>
      </c>
      <c r="B68" s="11" t="s">
        <v>2303</v>
      </c>
      <c r="C68" s="36">
        <v>527200</v>
      </c>
      <c r="E68" s="3" t="s">
        <v>2321</v>
      </c>
      <c r="F68" s="19">
        <v>355</v>
      </c>
      <c r="G68" s="19">
        <v>371</v>
      </c>
      <c r="H68" s="19">
        <v>388</v>
      </c>
      <c r="I68" s="10">
        <v>303</v>
      </c>
      <c r="J68" s="9">
        <v>0</v>
      </c>
      <c r="K68" s="10">
        <v>240</v>
      </c>
      <c r="L68" s="9">
        <v>412.91</v>
      </c>
      <c r="N68" s="9">
        <v>406.6</v>
      </c>
      <c r="O68" s="9">
        <v>450</v>
      </c>
      <c r="P68" s="9">
        <v>350</v>
      </c>
      <c r="Q68" s="9">
        <v>450</v>
      </c>
      <c r="R68" s="9">
        <v>0</v>
      </c>
    </row>
    <row r="69" spans="1:14" ht="12.75" hidden="1">
      <c r="A69" s="3" t="s">
        <v>2322</v>
      </c>
      <c r="B69" s="11" t="s">
        <v>2323</v>
      </c>
      <c r="E69" s="3" t="s">
        <v>2324</v>
      </c>
      <c r="F69" s="19">
        <v>0</v>
      </c>
      <c r="G69" s="19">
        <v>0</v>
      </c>
      <c r="H69" s="19">
        <v>5607</v>
      </c>
      <c r="I69" s="10">
        <v>756</v>
      </c>
      <c r="J69" s="9">
        <v>0</v>
      </c>
      <c r="K69" s="10">
        <v>0</v>
      </c>
      <c r="L69" s="9">
        <v>0</v>
      </c>
      <c r="M69" s="9">
        <v>0</v>
      </c>
      <c r="N69" s="9">
        <v>0</v>
      </c>
    </row>
    <row r="70" spans="1:18" ht="12.75">
      <c r="A70" s="3" t="s">
        <v>2331</v>
      </c>
      <c r="B70" s="11" t="s">
        <v>2332</v>
      </c>
      <c r="C70" s="36">
        <v>534500</v>
      </c>
      <c r="E70" s="3" t="s">
        <v>2195</v>
      </c>
      <c r="F70" s="19">
        <v>0</v>
      </c>
      <c r="G70" s="19">
        <v>0</v>
      </c>
      <c r="H70" s="19">
        <v>0</v>
      </c>
      <c r="I70" s="10">
        <v>0</v>
      </c>
      <c r="J70" s="9">
        <v>0</v>
      </c>
      <c r="K70" s="10">
        <v>0</v>
      </c>
      <c r="L70" s="9">
        <v>0</v>
      </c>
      <c r="N70" s="9">
        <v>0</v>
      </c>
      <c r="O70" s="9">
        <v>50</v>
      </c>
      <c r="P70" s="9">
        <v>50</v>
      </c>
      <c r="Q70" s="9">
        <v>50</v>
      </c>
      <c r="R70" s="9">
        <v>0</v>
      </c>
    </row>
    <row r="71" spans="1:18" ht="12.75">
      <c r="A71" s="3" t="s">
        <v>2328</v>
      </c>
      <c r="B71" s="11" t="s">
        <v>2329</v>
      </c>
      <c r="C71" s="36">
        <v>534700</v>
      </c>
      <c r="E71" s="3" t="s">
        <v>2330</v>
      </c>
      <c r="F71" s="19">
        <v>281</v>
      </c>
      <c r="G71" s="19">
        <v>392</v>
      </c>
      <c r="H71" s="19">
        <v>374</v>
      </c>
      <c r="I71" s="10">
        <v>668.93</v>
      </c>
      <c r="J71" s="9">
        <v>5683.99</v>
      </c>
      <c r="K71" s="10">
        <v>650</v>
      </c>
      <c r="L71" s="9">
        <v>247</v>
      </c>
      <c r="M71" s="9">
        <v>-243.66</v>
      </c>
      <c r="N71" s="9">
        <v>299.01</v>
      </c>
      <c r="O71" s="9">
        <v>450</v>
      </c>
      <c r="P71" s="9">
        <v>450</v>
      </c>
      <c r="Q71" s="9">
        <v>450</v>
      </c>
      <c r="R71" s="9">
        <v>0</v>
      </c>
    </row>
    <row r="72" spans="1:18" ht="12.75">
      <c r="A72" s="3" t="s">
        <v>2336</v>
      </c>
      <c r="B72" s="11" t="s">
        <v>2337</v>
      </c>
      <c r="C72" s="36">
        <v>534700</v>
      </c>
      <c r="E72" s="3" t="s">
        <v>2338</v>
      </c>
      <c r="F72" s="19">
        <v>782</v>
      </c>
      <c r="G72" s="19">
        <v>254</v>
      </c>
      <c r="H72" s="19">
        <v>550</v>
      </c>
      <c r="I72" s="10">
        <v>673</v>
      </c>
      <c r="J72" s="9">
        <v>539.74</v>
      </c>
      <c r="K72" s="10">
        <v>437.08</v>
      </c>
      <c r="L72" s="9">
        <v>157.49</v>
      </c>
      <c r="M72" s="9">
        <v>516.83</v>
      </c>
      <c r="N72" s="9">
        <v>346</v>
      </c>
      <c r="O72" s="9">
        <v>400</v>
      </c>
      <c r="P72" s="9">
        <v>400</v>
      </c>
      <c r="Q72" s="9">
        <v>400</v>
      </c>
      <c r="R72" s="9">
        <v>0</v>
      </c>
    </row>
    <row r="73" spans="1:18" ht="12.75">
      <c r="A73" s="3" t="s">
        <v>2333</v>
      </c>
      <c r="B73" s="11" t="s">
        <v>2334</v>
      </c>
      <c r="C73" s="36">
        <v>542100</v>
      </c>
      <c r="E73" s="3" t="s">
        <v>2335</v>
      </c>
      <c r="F73" s="19">
        <v>562</v>
      </c>
      <c r="G73" s="19">
        <v>970.37</v>
      </c>
      <c r="H73" s="19">
        <v>731.61</v>
      </c>
      <c r="I73" s="10">
        <v>654.04</v>
      </c>
      <c r="J73" s="9">
        <v>582.6</v>
      </c>
      <c r="K73" s="10">
        <v>436.67</v>
      </c>
      <c r="L73" s="9">
        <v>555.48</v>
      </c>
      <c r="M73" s="9">
        <v>759.91</v>
      </c>
      <c r="N73" s="9">
        <v>394.71</v>
      </c>
      <c r="O73" s="9">
        <v>700</v>
      </c>
      <c r="P73" s="9">
        <v>700</v>
      </c>
      <c r="Q73" s="9">
        <v>700</v>
      </c>
      <c r="R73" s="9">
        <v>0</v>
      </c>
    </row>
    <row r="74" spans="1:18" ht="12.75">
      <c r="A74" s="3" t="s">
        <v>2339</v>
      </c>
      <c r="B74" s="11" t="s">
        <v>2340</v>
      </c>
      <c r="C74" s="36">
        <v>542100</v>
      </c>
      <c r="E74" s="3" t="s">
        <v>2341</v>
      </c>
      <c r="F74" s="19">
        <v>775</v>
      </c>
      <c r="G74" s="19">
        <v>433.99</v>
      </c>
      <c r="H74" s="19">
        <v>423.88</v>
      </c>
      <c r="I74" s="10">
        <v>431.97</v>
      </c>
      <c r="J74" s="9">
        <v>498.62</v>
      </c>
      <c r="K74" s="10">
        <v>202.95</v>
      </c>
      <c r="L74" s="9">
        <v>128.13</v>
      </c>
      <c r="M74" s="9">
        <v>283</v>
      </c>
      <c r="N74" s="9">
        <v>388.51</v>
      </c>
      <c r="O74" s="9">
        <v>400</v>
      </c>
      <c r="P74" s="9">
        <v>400</v>
      </c>
      <c r="Q74" s="9">
        <v>400</v>
      </c>
      <c r="R74" s="9">
        <v>0</v>
      </c>
    </row>
    <row r="75" spans="1:18" ht="12.75">
      <c r="A75" s="3" t="s">
        <v>2342</v>
      </c>
      <c r="B75" s="11" t="s">
        <v>2343</v>
      </c>
      <c r="C75" s="36">
        <v>542200</v>
      </c>
      <c r="E75" s="3" t="s">
        <v>2344</v>
      </c>
      <c r="F75" s="19">
        <v>0</v>
      </c>
      <c r="G75" s="19">
        <v>517.12</v>
      </c>
      <c r="H75" s="19">
        <v>563</v>
      </c>
      <c r="I75" s="10">
        <v>108.63</v>
      </c>
      <c r="J75" s="9">
        <v>115.26</v>
      </c>
      <c r="K75" s="10">
        <v>500.78</v>
      </c>
      <c r="L75" s="9">
        <v>303.7</v>
      </c>
      <c r="M75" s="9">
        <v>193.34</v>
      </c>
      <c r="N75" s="9">
        <v>0</v>
      </c>
      <c r="O75" s="9">
        <v>350</v>
      </c>
      <c r="P75" s="9">
        <v>350</v>
      </c>
      <c r="Q75" s="9">
        <v>350</v>
      </c>
      <c r="R75" s="9">
        <v>0</v>
      </c>
    </row>
    <row r="76" spans="1:18" ht="12.75">
      <c r="A76" s="3" t="s">
        <v>2347</v>
      </c>
      <c r="B76" s="11" t="s">
        <v>2348</v>
      </c>
      <c r="C76" s="36">
        <v>571000</v>
      </c>
      <c r="E76" s="3" t="s">
        <v>2270</v>
      </c>
      <c r="F76" s="19">
        <v>0</v>
      </c>
      <c r="G76" s="19">
        <v>518</v>
      </c>
      <c r="H76" s="19">
        <v>368.66</v>
      </c>
      <c r="I76" s="10">
        <v>552.5</v>
      </c>
      <c r="J76" s="9">
        <v>495.53</v>
      </c>
      <c r="K76" s="10">
        <v>4.62</v>
      </c>
      <c r="L76" s="9">
        <v>285.87</v>
      </c>
      <c r="M76" s="9">
        <v>249</v>
      </c>
      <c r="N76" s="9">
        <v>436.22</v>
      </c>
      <c r="O76" s="9">
        <v>600</v>
      </c>
      <c r="P76" s="9">
        <v>600</v>
      </c>
      <c r="Q76" s="9">
        <v>600</v>
      </c>
      <c r="R76" s="9">
        <v>0</v>
      </c>
    </row>
    <row r="77" spans="1:18" ht="12.75" hidden="1">
      <c r="A77" s="3" t="s">
        <v>2345</v>
      </c>
      <c r="B77" s="11" t="s">
        <v>2346</v>
      </c>
      <c r="E77" s="3" t="s">
        <v>2264</v>
      </c>
      <c r="F77" s="19">
        <v>0</v>
      </c>
      <c r="G77" s="19">
        <v>0</v>
      </c>
      <c r="H77" s="19">
        <v>0</v>
      </c>
      <c r="I77" s="10">
        <v>0</v>
      </c>
      <c r="J77" s="9">
        <v>0</v>
      </c>
      <c r="K77" s="10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</row>
    <row r="78" spans="1:18" ht="12.75">
      <c r="A78" s="3" t="s">
        <v>2351</v>
      </c>
      <c r="B78" s="11" t="s">
        <v>2352</v>
      </c>
      <c r="C78" s="36">
        <v>573000</v>
      </c>
      <c r="E78" s="3" t="s">
        <v>2353</v>
      </c>
      <c r="F78" s="19">
        <v>180</v>
      </c>
      <c r="G78" s="19">
        <v>200</v>
      </c>
      <c r="H78" s="19">
        <v>265</v>
      </c>
      <c r="I78" s="10">
        <v>290</v>
      </c>
      <c r="J78" s="9">
        <v>100</v>
      </c>
      <c r="K78" s="10">
        <v>105</v>
      </c>
      <c r="L78" s="9">
        <v>230</v>
      </c>
      <c r="M78" s="9">
        <v>250</v>
      </c>
      <c r="N78" s="9">
        <v>225</v>
      </c>
      <c r="O78" s="9">
        <v>300</v>
      </c>
      <c r="P78" s="9">
        <v>300</v>
      </c>
      <c r="Q78" s="9">
        <v>300</v>
      </c>
      <c r="R78" s="9">
        <v>0</v>
      </c>
    </row>
    <row r="79" spans="1:14" ht="12.75" hidden="1">
      <c r="A79" s="3" t="s">
        <v>2349</v>
      </c>
      <c r="E79" s="3" t="s">
        <v>2350</v>
      </c>
      <c r="F79" s="19">
        <v>0</v>
      </c>
      <c r="G79" s="19">
        <v>0</v>
      </c>
      <c r="H79" s="19">
        <v>0</v>
      </c>
      <c r="I79" s="10">
        <v>0</v>
      </c>
      <c r="J79" s="9">
        <v>100</v>
      </c>
      <c r="K79" s="10">
        <v>0</v>
      </c>
      <c r="L79" s="9" t="s">
        <v>2180</v>
      </c>
      <c r="M79" s="9">
        <v>0</v>
      </c>
      <c r="N79" s="9">
        <v>0</v>
      </c>
    </row>
    <row r="80" spans="1:18" ht="12.75">
      <c r="A80" s="3" t="s">
        <v>2354</v>
      </c>
      <c r="B80" s="11" t="s">
        <v>2355</v>
      </c>
      <c r="C80" s="36">
        <v>574100</v>
      </c>
      <c r="E80" s="3" t="s">
        <v>2356</v>
      </c>
      <c r="F80" s="19">
        <v>190</v>
      </c>
      <c r="G80" s="19">
        <v>190</v>
      </c>
      <c r="H80" s="19">
        <v>100</v>
      </c>
      <c r="I80" s="10">
        <v>100</v>
      </c>
      <c r="J80" s="9">
        <v>0</v>
      </c>
      <c r="K80" s="10">
        <v>100</v>
      </c>
      <c r="L80" s="9">
        <v>100</v>
      </c>
      <c r="M80" s="9">
        <v>100</v>
      </c>
      <c r="N80" s="9">
        <v>100</v>
      </c>
      <c r="O80" s="9">
        <v>100</v>
      </c>
      <c r="P80" s="9">
        <v>100</v>
      </c>
      <c r="Q80" s="9">
        <v>100</v>
      </c>
      <c r="R80" s="9">
        <v>0</v>
      </c>
    </row>
    <row r="81" spans="1:18" ht="12.75">
      <c r="A81" s="3" t="s">
        <v>2325</v>
      </c>
      <c r="B81" s="11" t="s">
        <v>2326</v>
      </c>
      <c r="E81" s="3" t="s">
        <v>2327</v>
      </c>
      <c r="F81" s="19">
        <v>0</v>
      </c>
      <c r="G81" s="19">
        <v>0</v>
      </c>
      <c r="H81" s="19">
        <v>65</v>
      </c>
      <c r="I81" s="10">
        <v>300</v>
      </c>
      <c r="J81" s="9">
        <v>150</v>
      </c>
      <c r="K81" s="10">
        <v>0</v>
      </c>
      <c r="L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</row>
    <row r="82" spans="5:18" ht="12.75">
      <c r="E82" s="20" t="s">
        <v>2274</v>
      </c>
      <c r="F82" s="21">
        <f aca="true" t="shared" si="12" ref="F82:K82">SUM(F78:F81)</f>
        <v>370</v>
      </c>
      <c r="G82" s="21">
        <f t="shared" si="12"/>
        <v>390</v>
      </c>
      <c r="H82" s="21">
        <f t="shared" si="12"/>
        <v>430</v>
      </c>
      <c r="I82" s="22">
        <f t="shared" si="12"/>
        <v>690</v>
      </c>
      <c r="J82" s="22">
        <f t="shared" si="12"/>
        <v>350</v>
      </c>
      <c r="K82" s="22">
        <f t="shared" si="12"/>
        <v>205</v>
      </c>
      <c r="L82" s="7">
        <f aca="true" t="shared" si="13" ref="L82:Q82">SUM(L67:L81)</f>
        <v>2896.74</v>
      </c>
      <c r="M82" s="7">
        <f t="shared" si="13"/>
        <v>2333.42</v>
      </c>
      <c r="N82" s="7">
        <f t="shared" si="13"/>
        <v>2791.05</v>
      </c>
      <c r="O82" s="7">
        <f t="shared" si="13"/>
        <v>4200</v>
      </c>
      <c r="P82" s="7">
        <f t="shared" si="13"/>
        <v>4100</v>
      </c>
      <c r="Q82" s="7">
        <f t="shared" si="13"/>
        <v>4200</v>
      </c>
      <c r="R82" s="7">
        <f>SUM(R67:R81)</f>
        <v>0</v>
      </c>
    </row>
    <row r="83" ht="6" customHeight="1">
      <c r="I83" s="10"/>
    </row>
    <row r="84" spans="1:18" ht="12.75" hidden="1">
      <c r="A84" s="3" t="s">
        <v>2357</v>
      </c>
      <c r="B84" s="11" t="s">
        <v>2358</v>
      </c>
      <c r="E84" s="3" t="s">
        <v>2359</v>
      </c>
      <c r="F84" s="19">
        <v>0</v>
      </c>
      <c r="G84" s="19">
        <v>0</v>
      </c>
      <c r="H84" s="19">
        <v>0</v>
      </c>
      <c r="I84" s="10">
        <v>3872.3</v>
      </c>
      <c r="J84" s="9">
        <v>1014</v>
      </c>
      <c r="K84" s="10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</row>
    <row r="85" spans="5:18" ht="12.75" hidden="1">
      <c r="E85" s="20" t="s">
        <v>2277</v>
      </c>
      <c r="F85" s="25">
        <f>F84</f>
        <v>0</v>
      </c>
      <c r="G85" s="25">
        <f>G84</f>
        <v>0</v>
      </c>
      <c r="H85" s="25">
        <f>H84</f>
        <v>0</v>
      </c>
      <c r="I85" s="23">
        <f>I84</f>
        <v>3872.3</v>
      </c>
      <c r="J85" s="23">
        <f>J84</f>
        <v>1014</v>
      </c>
      <c r="K85" s="23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</row>
    <row r="86" ht="12.75" hidden="1">
      <c r="I86" s="10"/>
    </row>
    <row r="87" spans="5:18" ht="12.75">
      <c r="E87" s="2" t="s">
        <v>2360</v>
      </c>
      <c r="F87" s="31">
        <f>SUM(F57:F85)/2</f>
        <v>101679.5</v>
      </c>
      <c r="G87" s="31">
        <f>SUM(G57:G85)/2</f>
        <v>112095.24999999999</v>
      </c>
      <c r="H87" s="31">
        <f>SUM(H57:H85)/2</f>
        <v>95723.40999999999</v>
      </c>
      <c r="I87" s="28">
        <f>SUM(I57:I85)/2</f>
        <v>111189.83499999999</v>
      </c>
      <c r="J87" s="28" t="e">
        <f>SUM(J65+#REF!+#REF!+J82+J85)</f>
        <v>#REF!</v>
      </c>
      <c r="K87" s="28" t="e">
        <f>SUM(K65+#REF!+#REF!+K82)</f>
        <v>#REF!</v>
      </c>
      <c r="L87" s="32">
        <f>SUM(L65+L82)</f>
        <v>118420.65000000001</v>
      </c>
      <c r="M87" s="32">
        <f aca="true" t="shared" si="14" ref="M87:R87">SUM(M65+M82)</f>
        <v>112583.94</v>
      </c>
      <c r="N87" s="32">
        <f t="shared" si="14"/>
        <v>121349.77</v>
      </c>
      <c r="O87" s="32">
        <f t="shared" si="14"/>
        <v>140006</v>
      </c>
      <c r="P87" s="32">
        <f t="shared" si="14"/>
        <v>139906</v>
      </c>
      <c r="Q87" s="32">
        <f t="shared" si="14"/>
        <v>141311</v>
      </c>
      <c r="R87" s="32">
        <f t="shared" si="14"/>
        <v>0</v>
      </c>
    </row>
    <row r="88" ht="12.75">
      <c r="A88" s="3" t="s">
        <v>2180</v>
      </c>
    </row>
    <row r="89" spans="3:5" ht="12.75">
      <c r="C89" s="196">
        <v>11221</v>
      </c>
      <c r="D89" s="196"/>
      <c r="E89" s="163" t="s">
        <v>2361</v>
      </c>
    </row>
    <row r="90" spans="2:18" ht="12.75">
      <c r="B90" s="11" t="s">
        <v>2362</v>
      </c>
      <c r="C90" s="36">
        <v>511000</v>
      </c>
      <c r="E90" s="3" t="s">
        <v>2363</v>
      </c>
      <c r="F90" s="19">
        <v>0</v>
      </c>
      <c r="G90" s="19">
        <v>13999.92</v>
      </c>
      <c r="H90" s="19">
        <v>29183.31</v>
      </c>
      <c r="I90" s="10">
        <v>29803.47</v>
      </c>
      <c r="J90" s="9">
        <v>33133.65</v>
      </c>
      <c r="K90" s="10">
        <v>34155.73</v>
      </c>
      <c r="L90" s="9">
        <v>29479.78</v>
      </c>
      <c r="M90" s="9">
        <v>44044.31</v>
      </c>
      <c r="N90" s="9">
        <v>45675.02</v>
      </c>
      <c r="O90" s="9">
        <v>47877</v>
      </c>
      <c r="P90" s="9">
        <v>0</v>
      </c>
      <c r="Q90" s="9">
        <v>0</v>
      </c>
      <c r="R90" s="9">
        <v>0</v>
      </c>
    </row>
    <row r="91" spans="1:18" ht="12.75">
      <c r="A91" s="3" t="s">
        <v>2368</v>
      </c>
      <c r="B91" s="11" t="s">
        <v>2369</v>
      </c>
      <c r="C91" s="36">
        <v>511100</v>
      </c>
      <c r="E91" s="3" t="s">
        <v>2370</v>
      </c>
      <c r="F91" s="19">
        <v>3805</v>
      </c>
      <c r="G91" s="19">
        <v>1308.5</v>
      </c>
      <c r="H91" s="19">
        <v>3688.83</v>
      </c>
      <c r="I91" s="10">
        <v>6987.76</v>
      </c>
      <c r="J91" s="9">
        <v>741.03</v>
      </c>
      <c r="K91" s="10">
        <v>526.82</v>
      </c>
      <c r="L91" s="9">
        <v>4383.12</v>
      </c>
      <c r="M91" s="9">
        <v>6084.26</v>
      </c>
      <c r="N91" s="9">
        <v>7011.07</v>
      </c>
      <c r="O91" s="9">
        <v>4895</v>
      </c>
      <c r="P91" s="9">
        <v>6152</v>
      </c>
      <c r="Q91" s="9">
        <v>6546</v>
      </c>
      <c r="R91" s="9">
        <v>0</v>
      </c>
    </row>
    <row r="92" spans="1:18" ht="12.75">
      <c r="A92" s="3" t="s">
        <v>2364</v>
      </c>
      <c r="B92" s="11" t="s">
        <v>2365</v>
      </c>
      <c r="C92" s="36">
        <v>511900</v>
      </c>
      <c r="E92" s="3" t="s">
        <v>2367</v>
      </c>
      <c r="F92" s="19">
        <v>14000</v>
      </c>
      <c r="G92" s="19">
        <v>13369.75</v>
      </c>
      <c r="H92" s="19">
        <v>13999.92</v>
      </c>
      <c r="I92" s="10">
        <v>13999.92</v>
      </c>
      <c r="J92" s="9">
        <v>13999.92</v>
      </c>
      <c r="K92" s="10">
        <v>13999.92</v>
      </c>
      <c r="L92" s="9">
        <v>13999.92</v>
      </c>
      <c r="M92" s="9">
        <v>13583.26</v>
      </c>
      <c r="N92" s="9">
        <v>13999.92</v>
      </c>
      <c r="O92" s="9">
        <v>14000</v>
      </c>
      <c r="P92" s="9">
        <v>14000</v>
      </c>
      <c r="Q92" s="9">
        <v>14000</v>
      </c>
      <c r="R92" s="9">
        <v>0</v>
      </c>
    </row>
    <row r="93" spans="2:18" ht="12.75" hidden="1">
      <c r="B93" s="11">
        <v>5114.1</v>
      </c>
      <c r="E93" s="3" t="s">
        <v>2371</v>
      </c>
      <c r="F93" s="19">
        <v>0</v>
      </c>
      <c r="G93" s="19">
        <v>0</v>
      </c>
      <c r="H93" s="19">
        <v>0</v>
      </c>
      <c r="I93" s="10">
        <v>0</v>
      </c>
      <c r="J93" s="9">
        <v>0</v>
      </c>
      <c r="K93" s="10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</row>
    <row r="94" spans="1:18" ht="12.75">
      <c r="A94" s="3" t="s">
        <v>2374</v>
      </c>
      <c r="B94" s="11" t="s">
        <v>2375</v>
      </c>
      <c r="C94" s="36">
        <v>517000</v>
      </c>
      <c r="E94" s="3" t="s">
        <v>2222</v>
      </c>
      <c r="F94" s="19">
        <v>17638</v>
      </c>
      <c r="G94" s="19">
        <v>25966</v>
      </c>
      <c r="H94" s="19">
        <v>35320</v>
      </c>
      <c r="I94" s="10">
        <v>33339</v>
      </c>
      <c r="J94" s="9">
        <v>42905</v>
      </c>
      <c r="K94" s="10">
        <v>52027</v>
      </c>
      <c r="L94" s="9">
        <v>38294</v>
      </c>
      <c r="M94" s="9">
        <v>30629.85</v>
      </c>
      <c r="N94" s="9">
        <v>36203</v>
      </c>
      <c r="O94" s="9">
        <v>40911</v>
      </c>
      <c r="P94" s="9">
        <v>40911</v>
      </c>
      <c r="Q94" s="9">
        <v>15633</v>
      </c>
      <c r="R94" s="9">
        <v>0</v>
      </c>
    </row>
    <row r="95" spans="1:18" ht="12.75">
      <c r="A95" s="3" t="s">
        <v>2372</v>
      </c>
      <c r="B95" s="11" t="s">
        <v>2373</v>
      </c>
      <c r="C95" s="36">
        <v>517200</v>
      </c>
      <c r="E95" s="3" t="s">
        <v>2683</v>
      </c>
      <c r="F95" s="19">
        <v>38</v>
      </c>
      <c r="G95" s="19">
        <v>29</v>
      </c>
      <c r="H95" s="19">
        <v>29</v>
      </c>
      <c r="I95" s="10">
        <v>29</v>
      </c>
      <c r="J95" s="9">
        <v>29</v>
      </c>
      <c r="K95" s="10">
        <v>29</v>
      </c>
      <c r="L95" s="9">
        <v>29</v>
      </c>
      <c r="M95" s="9">
        <v>225</v>
      </c>
      <c r="N95" s="9">
        <v>215</v>
      </c>
      <c r="O95" s="9">
        <v>205</v>
      </c>
      <c r="P95" s="9">
        <v>205</v>
      </c>
      <c r="Q95" s="9">
        <v>215</v>
      </c>
      <c r="R95" s="9">
        <v>0</v>
      </c>
    </row>
    <row r="96" spans="2:12" ht="12.75" hidden="1">
      <c r="B96" s="11" t="s">
        <v>2376</v>
      </c>
      <c r="E96" s="3" t="s">
        <v>2298</v>
      </c>
      <c r="F96" s="19">
        <v>0</v>
      </c>
      <c r="G96" s="19">
        <v>0</v>
      </c>
      <c r="H96" s="19">
        <v>0</v>
      </c>
      <c r="I96" s="10">
        <v>0</v>
      </c>
      <c r="J96" s="9">
        <v>0</v>
      </c>
      <c r="K96" s="10">
        <v>0</v>
      </c>
      <c r="L96" s="9">
        <v>0</v>
      </c>
    </row>
    <row r="97" spans="1:18" ht="12.75">
      <c r="A97" s="3" t="s">
        <v>2180</v>
      </c>
      <c r="E97" s="20" t="s">
        <v>2187</v>
      </c>
      <c r="F97" s="25">
        <f aca="true" t="shared" si="15" ref="F97:L97">SUM(F90:F96)</f>
        <v>35481</v>
      </c>
      <c r="G97" s="25">
        <f t="shared" si="15"/>
        <v>54673.17</v>
      </c>
      <c r="H97" s="25">
        <f t="shared" si="15"/>
        <v>82221.06</v>
      </c>
      <c r="I97" s="23">
        <f t="shared" si="15"/>
        <v>84159.15</v>
      </c>
      <c r="J97" s="23">
        <f t="shared" si="15"/>
        <v>90808.6</v>
      </c>
      <c r="K97" s="23">
        <f t="shared" si="15"/>
        <v>100738.47</v>
      </c>
      <c r="L97" s="7">
        <f t="shared" si="15"/>
        <v>86185.82</v>
      </c>
      <c r="M97" s="7">
        <f aca="true" t="shared" si="16" ref="M97:R97">SUM(M90:M96)</f>
        <v>94566.68</v>
      </c>
      <c r="N97" s="7">
        <f t="shared" si="16"/>
        <v>103104.01</v>
      </c>
      <c r="O97" s="7">
        <f t="shared" si="16"/>
        <v>107888</v>
      </c>
      <c r="P97" s="7">
        <f t="shared" si="16"/>
        <v>61268</v>
      </c>
      <c r="Q97" s="7">
        <f t="shared" si="16"/>
        <v>36394</v>
      </c>
      <c r="R97" s="7">
        <f t="shared" si="16"/>
        <v>0</v>
      </c>
    </row>
    <row r="98" spans="3:9" ht="12" customHeight="1">
      <c r="C98" s="196">
        <v>11222</v>
      </c>
      <c r="D98" s="196"/>
      <c r="I98" s="10"/>
    </row>
    <row r="99" spans="1:18" ht="12.75">
      <c r="A99" s="3" t="s">
        <v>2377</v>
      </c>
      <c r="B99" s="11" t="s">
        <v>2378</v>
      </c>
      <c r="C99" s="36">
        <v>530000</v>
      </c>
      <c r="E99" s="3" t="s">
        <v>2379</v>
      </c>
      <c r="F99" s="19">
        <v>3390</v>
      </c>
      <c r="G99" s="19">
        <v>3195</v>
      </c>
      <c r="H99" s="19">
        <v>2950</v>
      </c>
      <c r="I99" s="10">
        <v>8220</v>
      </c>
      <c r="J99" s="9">
        <v>5045</v>
      </c>
      <c r="K99" s="10">
        <v>21000</v>
      </c>
      <c r="L99" s="9">
        <f>28501.84+184.03</f>
        <v>28685.87</v>
      </c>
      <c r="M99" s="9">
        <v>2000</v>
      </c>
      <c r="N99" s="9">
        <v>65</v>
      </c>
      <c r="O99" s="9">
        <v>0</v>
      </c>
      <c r="P99" s="9">
        <v>0</v>
      </c>
      <c r="Q99" s="9">
        <v>0</v>
      </c>
      <c r="R99" s="9">
        <v>0</v>
      </c>
    </row>
    <row r="100" spans="1:18" ht="12.75" hidden="1">
      <c r="A100" s="3" t="s">
        <v>2380</v>
      </c>
      <c r="B100" s="11" t="s">
        <v>2381</v>
      </c>
      <c r="E100" s="3" t="s">
        <v>2382</v>
      </c>
      <c r="F100" s="19">
        <v>278</v>
      </c>
      <c r="G100" s="19">
        <v>1954.65</v>
      </c>
      <c r="H100" s="19">
        <v>657</v>
      </c>
      <c r="I100" s="10">
        <v>150.61</v>
      </c>
      <c r="J100" s="9">
        <v>316.16</v>
      </c>
      <c r="K100" s="10">
        <v>140.42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</row>
    <row r="101" spans="2:18" ht="12.75" hidden="1">
      <c r="B101" s="11">
        <v>5117.1</v>
      </c>
      <c r="E101" s="3" t="s">
        <v>2383</v>
      </c>
      <c r="F101" s="19">
        <v>0</v>
      </c>
      <c r="G101" s="19">
        <v>0</v>
      </c>
      <c r="H101" s="19">
        <v>22910.2</v>
      </c>
      <c r="I101" s="10">
        <v>0</v>
      </c>
      <c r="J101" s="9">
        <v>0</v>
      </c>
      <c r="K101" s="10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</row>
    <row r="102" spans="1:18" ht="12.75">
      <c r="A102" s="3" t="s">
        <v>2396</v>
      </c>
      <c r="B102" s="11" t="s">
        <v>2397</v>
      </c>
      <c r="C102" s="36">
        <v>558900</v>
      </c>
      <c r="E102" s="3" t="s">
        <v>1451</v>
      </c>
      <c r="F102" s="19">
        <v>1820</v>
      </c>
      <c r="G102" s="19">
        <v>630.25</v>
      </c>
      <c r="H102" s="19">
        <v>1424.5</v>
      </c>
      <c r="I102" s="10">
        <v>828</v>
      </c>
      <c r="J102" s="9">
        <v>1405.11</v>
      </c>
      <c r="K102" s="10">
        <v>0</v>
      </c>
      <c r="L102" s="9">
        <v>994.15</v>
      </c>
      <c r="M102" s="9">
        <v>1667.81</v>
      </c>
      <c r="N102" s="9">
        <v>320.44</v>
      </c>
      <c r="O102" s="9">
        <v>1000</v>
      </c>
      <c r="P102" s="9">
        <v>1000</v>
      </c>
      <c r="Q102" s="9">
        <v>1000</v>
      </c>
      <c r="R102" s="9">
        <v>0</v>
      </c>
    </row>
    <row r="103" spans="1:18" ht="12.75">
      <c r="A103" s="3" t="s">
        <v>2387</v>
      </c>
      <c r="B103" s="11" t="s">
        <v>2388</v>
      </c>
      <c r="C103" s="36">
        <v>571000</v>
      </c>
      <c r="E103" s="3" t="s">
        <v>2389</v>
      </c>
      <c r="F103" s="19">
        <v>765</v>
      </c>
      <c r="G103" s="19">
        <v>488</v>
      </c>
      <c r="H103" s="19">
        <v>360</v>
      </c>
      <c r="I103" s="10">
        <v>530</v>
      </c>
      <c r="J103" s="9">
        <v>445</v>
      </c>
      <c r="K103" s="10">
        <v>415</v>
      </c>
      <c r="L103" s="9">
        <v>390</v>
      </c>
      <c r="M103" s="9">
        <v>570</v>
      </c>
      <c r="N103" s="9">
        <v>505</v>
      </c>
      <c r="O103" s="9">
        <v>500</v>
      </c>
      <c r="P103" s="9">
        <v>500</v>
      </c>
      <c r="Q103" s="9">
        <v>500</v>
      </c>
      <c r="R103" s="9">
        <v>0</v>
      </c>
    </row>
    <row r="104" spans="1:14" ht="12.75" hidden="1">
      <c r="A104" s="3" t="s">
        <v>2390</v>
      </c>
      <c r="B104" s="11" t="s">
        <v>2391</v>
      </c>
      <c r="E104" s="3" t="s">
        <v>2392</v>
      </c>
      <c r="F104" s="19">
        <v>1188</v>
      </c>
      <c r="G104" s="19">
        <v>1188</v>
      </c>
      <c r="H104" s="19">
        <v>1188</v>
      </c>
      <c r="I104" s="10">
        <v>1188</v>
      </c>
      <c r="J104" s="9">
        <v>1188</v>
      </c>
      <c r="K104" s="10">
        <v>1188</v>
      </c>
      <c r="L104" s="9">
        <v>0</v>
      </c>
      <c r="M104" s="9">
        <v>0</v>
      </c>
      <c r="N104" s="9">
        <v>0</v>
      </c>
    </row>
    <row r="105" spans="1:18" ht="12.75">
      <c r="A105" s="3" t="s">
        <v>2393</v>
      </c>
      <c r="B105" s="11" t="s">
        <v>2394</v>
      </c>
      <c r="C105" s="36">
        <v>573000</v>
      </c>
      <c r="E105" s="3" t="s">
        <v>2395</v>
      </c>
      <c r="F105" s="19">
        <v>5814</v>
      </c>
      <c r="G105" s="19">
        <v>100</v>
      </c>
      <c r="H105" s="19">
        <v>6144</v>
      </c>
      <c r="I105" s="10">
        <v>6219</v>
      </c>
      <c r="J105" s="9">
        <v>6373</v>
      </c>
      <c r="K105" s="10">
        <v>6508</v>
      </c>
      <c r="L105" s="9">
        <v>6247.91</v>
      </c>
      <c r="M105" s="9">
        <v>6250</v>
      </c>
      <c r="N105" s="9">
        <v>6690</v>
      </c>
      <c r="O105" s="9">
        <v>6730</v>
      </c>
      <c r="P105" s="9">
        <v>6730</v>
      </c>
      <c r="Q105" s="9">
        <v>6730</v>
      </c>
      <c r="R105" s="9">
        <v>0</v>
      </c>
    </row>
    <row r="106" spans="1:18" ht="12.75">
      <c r="A106" s="3" t="s">
        <v>2385</v>
      </c>
      <c r="B106" s="11" t="s">
        <v>2386</v>
      </c>
      <c r="E106" s="3" t="s">
        <v>2335</v>
      </c>
      <c r="F106" s="19">
        <v>300</v>
      </c>
      <c r="G106" s="19">
        <v>1095.71</v>
      </c>
      <c r="H106" s="19">
        <v>412.94</v>
      </c>
      <c r="I106" s="10">
        <v>422.19</v>
      </c>
      <c r="J106" s="9">
        <v>211.3</v>
      </c>
      <c r="K106" s="10">
        <v>0</v>
      </c>
      <c r="L106" s="9">
        <v>491.21</v>
      </c>
      <c r="M106" s="9">
        <v>50.48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</row>
    <row r="107" spans="2:18" ht="12.75" hidden="1">
      <c r="B107" s="36">
        <v>5124</v>
      </c>
      <c r="E107" s="3" t="s">
        <v>2398</v>
      </c>
      <c r="F107" s="19">
        <v>0</v>
      </c>
      <c r="G107" s="19">
        <v>0</v>
      </c>
      <c r="H107" s="19">
        <v>0</v>
      </c>
      <c r="I107" s="10">
        <v>0</v>
      </c>
      <c r="J107" s="9">
        <v>1500000</v>
      </c>
      <c r="K107" s="10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</row>
    <row r="108" spans="5:18" ht="12.75">
      <c r="E108" s="20" t="s">
        <v>2274</v>
      </c>
      <c r="F108" s="25">
        <f aca="true" t="shared" si="17" ref="F108:K108">SUM(F103:F107)</f>
        <v>8067</v>
      </c>
      <c r="G108" s="25">
        <f t="shared" si="17"/>
        <v>2871.71</v>
      </c>
      <c r="H108" s="25">
        <f t="shared" si="17"/>
        <v>8104.94</v>
      </c>
      <c r="I108" s="23">
        <f t="shared" si="17"/>
        <v>8359.19</v>
      </c>
      <c r="J108" s="23">
        <f t="shared" si="17"/>
        <v>1508217.3</v>
      </c>
      <c r="K108" s="23">
        <f t="shared" si="17"/>
        <v>8111</v>
      </c>
      <c r="L108" s="7">
        <f aca="true" t="shared" si="18" ref="L108:Q108">SUM(L99:L107)</f>
        <v>36809.14</v>
      </c>
      <c r="M108" s="7">
        <f t="shared" si="18"/>
        <v>10538.289999999999</v>
      </c>
      <c r="N108" s="7">
        <f t="shared" si="18"/>
        <v>7580.4400000000005</v>
      </c>
      <c r="O108" s="7">
        <f t="shared" si="18"/>
        <v>8230</v>
      </c>
      <c r="P108" s="7">
        <f t="shared" si="18"/>
        <v>8230</v>
      </c>
      <c r="Q108" s="7">
        <f t="shared" si="18"/>
        <v>8230</v>
      </c>
      <c r="R108" s="7">
        <f>SUM(R99:R107)</f>
        <v>0</v>
      </c>
    </row>
    <row r="109" spans="5:8" ht="12.75">
      <c r="E109" s="20"/>
      <c r="F109" s="37"/>
      <c r="G109" s="37"/>
      <c r="H109" s="37"/>
    </row>
    <row r="110" spans="5:18" ht="12.75">
      <c r="E110" s="2" t="s">
        <v>2399</v>
      </c>
      <c r="F110" s="31">
        <f aca="true" t="shared" si="19" ref="F110:K110">SUM(F90:F109)/2</f>
        <v>46292</v>
      </c>
      <c r="G110" s="31">
        <f t="shared" si="19"/>
        <v>60434.83</v>
      </c>
      <c r="H110" s="31">
        <f t="shared" si="19"/>
        <v>104296.85</v>
      </c>
      <c r="I110" s="28">
        <f t="shared" si="19"/>
        <v>97117.64499999999</v>
      </c>
      <c r="J110" s="28">
        <f t="shared" si="19"/>
        <v>1602409.0350000001</v>
      </c>
      <c r="K110" s="28">
        <f t="shared" si="19"/>
        <v>119419.68000000001</v>
      </c>
      <c r="L110" s="32">
        <f>SUM(L97+L108)</f>
        <v>122994.96</v>
      </c>
      <c r="M110" s="32">
        <f aca="true" t="shared" si="20" ref="M110:R110">SUM(M97+M108)</f>
        <v>105104.96999999999</v>
      </c>
      <c r="N110" s="32">
        <f t="shared" si="20"/>
        <v>110684.45</v>
      </c>
      <c r="O110" s="32">
        <f t="shared" si="20"/>
        <v>116118</v>
      </c>
      <c r="P110" s="32">
        <f t="shared" si="20"/>
        <v>69498</v>
      </c>
      <c r="Q110" s="32">
        <f t="shared" si="20"/>
        <v>44624</v>
      </c>
      <c r="R110" s="32">
        <f t="shared" si="20"/>
        <v>0</v>
      </c>
    </row>
    <row r="111" spans="5:18" ht="12.75">
      <c r="E111" s="2"/>
      <c r="F111" s="31"/>
      <c r="G111" s="31"/>
      <c r="H111" s="31"/>
      <c r="I111" s="28"/>
      <c r="J111" s="28"/>
      <c r="K111" s="28"/>
      <c r="L111" s="32"/>
      <c r="M111" s="32"/>
      <c r="N111" s="32"/>
      <c r="O111" s="32"/>
      <c r="P111" s="32"/>
      <c r="Q111" s="32"/>
      <c r="R111" s="32"/>
    </row>
    <row r="112" ht="12.75">
      <c r="I112" s="10"/>
    </row>
    <row r="113" spans="1:9" ht="13.5" customHeight="1">
      <c r="A113" s="3" t="s">
        <v>2180</v>
      </c>
      <c r="C113" s="196">
        <v>11971</v>
      </c>
      <c r="D113" s="196"/>
      <c r="E113" s="163" t="s">
        <v>2400</v>
      </c>
      <c r="I113" s="10"/>
    </row>
    <row r="114" spans="2:18" ht="12.75">
      <c r="B114" s="36">
        <v>5140</v>
      </c>
      <c r="C114" s="36">
        <v>511100</v>
      </c>
      <c r="E114" s="3" t="s">
        <v>2370</v>
      </c>
      <c r="F114" s="19">
        <v>0</v>
      </c>
      <c r="G114" s="19">
        <v>0</v>
      </c>
      <c r="H114" s="19">
        <v>0</v>
      </c>
      <c r="I114" s="10">
        <v>0</v>
      </c>
      <c r="J114" s="9">
        <v>0</v>
      </c>
      <c r="K114" s="10">
        <v>0</v>
      </c>
      <c r="L114" s="9">
        <v>0</v>
      </c>
      <c r="M114" s="9">
        <v>1770</v>
      </c>
      <c r="N114" s="9">
        <v>1790</v>
      </c>
      <c r="O114" s="9">
        <v>2000</v>
      </c>
      <c r="P114" s="9">
        <v>1560</v>
      </c>
      <c r="Q114" s="9">
        <v>1566</v>
      </c>
      <c r="R114" s="9">
        <v>0</v>
      </c>
    </row>
    <row r="115" spans="2:19" s="38" customFormat="1" ht="12.75">
      <c r="B115" s="39"/>
      <c r="C115" s="39"/>
      <c r="D115" s="39"/>
      <c r="E115" s="20" t="s">
        <v>2187</v>
      </c>
      <c r="F115" s="25">
        <f aca="true" t="shared" si="21" ref="F115:L115">SUM(F114)</f>
        <v>0</v>
      </c>
      <c r="G115" s="25">
        <f t="shared" si="21"/>
        <v>0</v>
      </c>
      <c r="H115" s="25">
        <f t="shared" si="21"/>
        <v>0</v>
      </c>
      <c r="I115" s="23">
        <f t="shared" si="21"/>
        <v>0</v>
      </c>
      <c r="J115" s="23">
        <f t="shared" si="21"/>
        <v>0</v>
      </c>
      <c r="K115" s="23">
        <f t="shared" si="21"/>
        <v>0</v>
      </c>
      <c r="L115" s="7">
        <f t="shared" si="21"/>
        <v>0</v>
      </c>
      <c r="M115" s="7">
        <f aca="true" t="shared" si="22" ref="M115:R115">SUM(M114)</f>
        <v>1770</v>
      </c>
      <c r="N115" s="7">
        <f t="shared" si="22"/>
        <v>1790</v>
      </c>
      <c r="O115" s="7">
        <f t="shared" si="22"/>
        <v>2000</v>
      </c>
      <c r="P115" s="7">
        <f t="shared" si="22"/>
        <v>1560</v>
      </c>
      <c r="Q115" s="7">
        <f t="shared" si="22"/>
        <v>1566</v>
      </c>
      <c r="R115" s="7">
        <f t="shared" si="22"/>
        <v>0</v>
      </c>
      <c r="S115" s="57"/>
    </row>
    <row r="116" spans="2:9" ht="13.5" customHeight="1">
      <c r="B116" s="36"/>
      <c r="C116" s="196">
        <v>11972</v>
      </c>
      <c r="D116" s="196"/>
      <c r="I116" s="10"/>
    </row>
    <row r="117" spans="1:18" ht="12" customHeight="1">
      <c r="A117" s="3" t="s">
        <v>2401</v>
      </c>
      <c r="B117" s="36">
        <v>5144</v>
      </c>
      <c r="C117" s="36">
        <v>534600</v>
      </c>
      <c r="E117" s="3" t="s">
        <v>2402</v>
      </c>
      <c r="F117" s="19">
        <v>3486</v>
      </c>
      <c r="G117" s="19">
        <v>3748.5</v>
      </c>
      <c r="H117" s="19">
        <v>4074.16</v>
      </c>
      <c r="I117" s="10">
        <v>2877</v>
      </c>
      <c r="J117" s="9">
        <v>3471</v>
      </c>
      <c r="K117" s="10">
        <v>2292</v>
      </c>
      <c r="L117" s="9">
        <v>3449.05</v>
      </c>
      <c r="N117" s="9">
        <v>0</v>
      </c>
      <c r="O117" s="9">
        <v>1500</v>
      </c>
      <c r="P117" s="9">
        <v>1500</v>
      </c>
      <c r="Q117" s="9">
        <v>3200</v>
      </c>
      <c r="R117" s="9">
        <v>0</v>
      </c>
    </row>
    <row r="118" spans="2:18" ht="12.75">
      <c r="B118" s="36">
        <v>5147</v>
      </c>
      <c r="C118" s="36">
        <v>534700</v>
      </c>
      <c r="E118" s="3" t="s">
        <v>2406</v>
      </c>
      <c r="F118" s="19">
        <v>0</v>
      </c>
      <c r="G118" s="19">
        <v>0</v>
      </c>
      <c r="H118" s="19">
        <v>68</v>
      </c>
      <c r="I118" s="10">
        <v>69.86</v>
      </c>
      <c r="J118" s="9">
        <v>1825.69</v>
      </c>
      <c r="K118" s="10">
        <v>344.93</v>
      </c>
      <c r="L118" s="9">
        <v>175</v>
      </c>
      <c r="N118" s="9">
        <v>0</v>
      </c>
      <c r="O118" s="9">
        <v>700</v>
      </c>
      <c r="P118" s="9">
        <v>700</v>
      </c>
      <c r="Q118" s="9">
        <v>700</v>
      </c>
      <c r="R118" s="9">
        <v>0</v>
      </c>
    </row>
    <row r="119" spans="1:18" ht="12.75">
      <c r="A119" s="3" t="s">
        <v>2403</v>
      </c>
      <c r="B119" s="36">
        <v>5145</v>
      </c>
      <c r="C119" s="36">
        <v>577000</v>
      </c>
      <c r="E119" s="3" t="s">
        <v>2404</v>
      </c>
      <c r="F119" s="19">
        <v>3697</v>
      </c>
      <c r="G119" s="19">
        <v>3604.67</v>
      </c>
      <c r="H119" s="19">
        <v>3351.93</v>
      </c>
      <c r="I119" s="10">
        <v>3268.09</v>
      </c>
      <c r="J119" s="9">
        <v>3272</v>
      </c>
      <c r="K119" s="10">
        <v>4386.47</v>
      </c>
      <c r="L119" s="9">
        <v>2695.53</v>
      </c>
      <c r="M119" s="9">
        <v>3018</v>
      </c>
      <c r="N119" s="9">
        <v>0</v>
      </c>
      <c r="O119" s="9">
        <v>3000</v>
      </c>
      <c r="P119" s="9">
        <v>3000</v>
      </c>
      <c r="Q119" s="9">
        <v>3000</v>
      </c>
      <c r="R119" s="9">
        <v>0</v>
      </c>
    </row>
    <row r="120" spans="2:14" ht="12.75">
      <c r="B120" s="36">
        <v>5146</v>
      </c>
      <c r="E120" s="3" t="s">
        <v>2405</v>
      </c>
      <c r="F120" s="19">
        <v>50</v>
      </c>
      <c r="G120" s="19">
        <v>185.95</v>
      </c>
      <c r="H120" s="19">
        <v>0</v>
      </c>
      <c r="I120" s="10">
        <v>0</v>
      </c>
      <c r="J120" s="9">
        <v>3679.95</v>
      </c>
      <c r="K120" s="10">
        <v>10295.33</v>
      </c>
      <c r="L120" s="9">
        <v>9871.38</v>
      </c>
      <c r="N120" s="9">
        <v>0</v>
      </c>
    </row>
    <row r="121" spans="5:18" ht="12.75">
      <c r="E121" s="20" t="s">
        <v>2199</v>
      </c>
      <c r="F121" s="21">
        <f aca="true" t="shared" si="23" ref="F121:R121">SUM(F117:F120)</f>
        <v>7233</v>
      </c>
      <c r="G121" s="21">
        <f t="shared" si="23"/>
        <v>7539.12</v>
      </c>
      <c r="H121" s="21">
        <f t="shared" si="23"/>
        <v>7494.09</v>
      </c>
      <c r="I121" s="22">
        <f t="shared" si="23"/>
        <v>6214.950000000001</v>
      </c>
      <c r="J121" s="23">
        <f t="shared" si="23"/>
        <v>12248.64</v>
      </c>
      <c r="K121" s="23">
        <f t="shared" si="23"/>
        <v>17318.73</v>
      </c>
      <c r="L121" s="7">
        <f t="shared" si="23"/>
        <v>16190.96</v>
      </c>
      <c r="M121" s="7">
        <f t="shared" si="23"/>
        <v>3018</v>
      </c>
      <c r="N121" s="7">
        <f t="shared" si="23"/>
        <v>0</v>
      </c>
      <c r="O121" s="7">
        <f t="shared" si="23"/>
        <v>5200</v>
      </c>
      <c r="P121" s="7">
        <f t="shared" si="23"/>
        <v>5200</v>
      </c>
      <c r="Q121" s="7">
        <f t="shared" si="23"/>
        <v>6900</v>
      </c>
      <c r="R121" s="7">
        <f t="shared" si="23"/>
        <v>0</v>
      </c>
    </row>
    <row r="122" ht="12.75">
      <c r="I122" s="10"/>
    </row>
    <row r="123" spans="5:18" ht="12.75">
      <c r="E123" s="2" t="s">
        <v>2407</v>
      </c>
      <c r="F123" s="31">
        <f aca="true" t="shared" si="24" ref="F123:R123">SUM(F121+F115)</f>
        <v>7233</v>
      </c>
      <c r="G123" s="31">
        <f t="shared" si="24"/>
        <v>7539.12</v>
      </c>
      <c r="H123" s="31">
        <f t="shared" si="24"/>
        <v>7494.09</v>
      </c>
      <c r="I123" s="28">
        <f t="shared" si="24"/>
        <v>6214.950000000001</v>
      </c>
      <c r="J123" s="28">
        <f t="shared" si="24"/>
        <v>12248.64</v>
      </c>
      <c r="K123" s="28">
        <f t="shared" si="24"/>
        <v>17318.73</v>
      </c>
      <c r="L123" s="32">
        <f t="shared" si="24"/>
        <v>16190.96</v>
      </c>
      <c r="M123" s="32">
        <f t="shared" si="24"/>
        <v>4788</v>
      </c>
      <c r="N123" s="32">
        <f t="shared" si="24"/>
        <v>1790</v>
      </c>
      <c r="O123" s="32">
        <f t="shared" si="24"/>
        <v>7200</v>
      </c>
      <c r="P123" s="32">
        <f t="shared" si="24"/>
        <v>6760</v>
      </c>
      <c r="Q123" s="32">
        <f t="shared" si="24"/>
        <v>8466</v>
      </c>
      <c r="R123" s="32">
        <f t="shared" si="24"/>
        <v>0</v>
      </c>
    </row>
    <row r="124" spans="1:9" ht="12.75" hidden="1">
      <c r="A124" s="3" t="s">
        <v>2180</v>
      </c>
      <c r="I124" s="10"/>
    </row>
    <row r="125" ht="12.75">
      <c r="I125" s="10"/>
    </row>
    <row r="126" ht="12.75">
      <c r="I126" s="10"/>
    </row>
    <row r="127" spans="1:9" ht="12.75">
      <c r="A127" s="3" t="s">
        <v>2180</v>
      </c>
      <c r="C127" s="196">
        <v>11981</v>
      </c>
      <c r="D127" s="196"/>
      <c r="E127" s="163" t="s">
        <v>2408</v>
      </c>
      <c r="I127" s="10"/>
    </row>
    <row r="128" spans="1:18" ht="12.75">
      <c r="A128" s="3" t="s">
        <v>2409</v>
      </c>
      <c r="B128" s="11" t="s">
        <v>2410</v>
      </c>
      <c r="C128" s="36">
        <v>511100</v>
      </c>
      <c r="E128" s="3" t="s">
        <v>2370</v>
      </c>
      <c r="F128" s="19">
        <v>3701</v>
      </c>
      <c r="G128" s="19">
        <v>10377.62</v>
      </c>
      <c r="H128" s="19">
        <v>2153.2</v>
      </c>
      <c r="I128" s="10">
        <v>13351.4</v>
      </c>
      <c r="J128" s="9">
        <v>14069.17</v>
      </c>
      <c r="K128" s="10">
        <v>14487.52</v>
      </c>
      <c r="L128" s="9">
        <v>15132.14</v>
      </c>
      <c r="M128" s="9">
        <v>18186.17</v>
      </c>
      <c r="N128" s="9">
        <v>18152.2</v>
      </c>
      <c r="O128" s="9">
        <v>17277</v>
      </c>
      <c r="P128" s="9">
        <v>18040</v>
      </c>
      <c r="Q128" s="9">
        <v>18652</v>
      </c>
      <c r="R128" s="9">
        <v>0</v>
      </c>
    </row>
    <row r="129" spans="1:18" ht="12.75" hidden="1">
      <c r="A129" s="3" t="s">
        <v>2411</v>
      </c>
      <c r="B129" s="11" t="s">
        <v>2412</v>
      </c>
      <c r="E129" s="3" t="s">
        <v>2298</v>
      </c>
      <c r="F129" s="19">
        <v>0</v>
      </c>
      <c r="G129" s="19">
        <v>0</v>
      </c>
      <c r="H129" s="19">
        <v>0</v>
      </c>
      <c r="I129" s="10">
        <v>0</v>
      </c>
      <c r="J129" s="9">
        <v>0</v>
      </c>
      <c r="K129" s="10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</row>
    <row r="130" spans="5:18" ht="12.75">
      <c r="E130" s="20" t="s">
        <v>2187</v>
      </c>
      <c r="F130" s="25">
        <f aca="true" t="shared" si="25" ref="F130:L130">SUM(F128:F129)</f>
        <v>3701</v>
      </c>
      <c r="G130" s="25">
        <f t="shared" si="25"/>
        <v>10377.62</v>
      </c>
      <c r="H130" s="25">
        <f t="shared" si="25"/>
        <v>2153.2</v>
      </c>
      <c r="I130" s="23">
        <f t="shared" si="25"/>
        <v>13351.4</v>
      </c>
      <c r="J130" s="23">
        <f t="shared" si="25"/>
        <v>14069.17</v>
      </c>
      <c r="K130" s="23">
        <f t="shared" si="25"/>
        <v>14487.52</v>
      </c>
      <c r="L130" s="7">
        <f t="shared" si="25"/>
        <v>15132.14</v>
      </c>
      <c r="M130" s="7">
        <f aca="true" t="shared" si="26" ref="M130:R130">SUM(M128:M129)</f>
        <v>18186.17</v>
      </c>
      <c r="N130" s="7">
        <f t="shared" si="26"/>
        <v>18152.2</v>
      </c>
      <c r="O130" s="7">
        <f t="shared" si="26"/>
        <v>17277</v>
      </c>
      <c r="P130" s="7">
        <f t="shared" si="26"/>
        <v>18040</v>
      </c>
      <c r="Q130" s="7">
        <f t="shared" si="26"/>
        <v>18652</v>
      </c>
      <c r="R130" s="7">
        <f t="shared" si="26"/>
        <v>0</v>
      </c>
    </row>
    <row r="131" spans="3:9" ht="14.25" customHeight="1">
      <c r="C131" s="196">
        <v>11982</v>
      </c>
      <c r="D131" s="196"/>
      <c r="I131" s="10"/>
    </row>
    <row r="132" spans="1:18" ht="12.75" hidden="1">
      <c r="A132" s="3" t="s">
        <v>2413</v>
      </c>
      <c r="B132" s="11" t="s">
        <v>2414</v>
      </c>
      <c r="E132" s="3" t="s">
        <v>2379</v>
      </c>
      <c r="F132" s="19">
        <v>7936</v>
      </c>
      <c r="G132" s="19">
        <v>13205.94</v>
      </c>
      <c r="H132" s="19">
        <v>3975</v>
      </c>
      <c r="I132" s="10">
        <v>5117</v>
      </c>
      <c r="J132" s="9">
        <v>1925</v>
      </c>
      <c r="K132" s="10">
        <v>111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</row>
    <row r="133" spans="1:18" ht="12.75" hidden="1">
      <c r="A133" s="3" t="s">
        <v>2415</v>
      </c>
      <c r="B133" s="11" t="s">
        <v>2416</v>
      </c>
      <c r="E133" s="3" t="s">
        <v>2417</v>
      </c>
      <c r="F133" s="19">
        <v>1500</v>
      </c>
      <c r="G133" s="19">
        <v>0</v>
      </c>
      <c r="H133" s="19">
        <v>0</v>
      </c>
      <c r="I133" s="10">
        <v>0</v>
      </c>
      <c r="J133" s="9">
        <v>0</v>
      </c>
      <c r="K133" s="10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</row>
    <row r="134" spans="1:18" ht="12.75" hidden="1">
      <c r="A134" s="3" t="s">
        <v>2418</v>
      </c>
      <c r="B134" s="11" t="s">
        <v>2419</v>
      </c>
      <c r="E134" s="3" t="s">
        <v>2198</v>
      </c>
      <c r="F134" s="19">
        <v>29</v>
      </c>
      <c r="G134" s="19">
        <v>509.7</v>
      </c>
      <c r="H134" s="19">
        <v>8319.35</v>
      </c>
      <c r="I134" s="10">
        <v>-66.16</v>
      </c>
      <c r="J134" s="9">
        <v>0</v>
      </c>
      <c r="K134" s="10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</row>
    <row r="135" spans="1:18" ht="12.75">
      <c r="A135" s="3" t="s">
        <v>2420</v>
      </c>
      <c r="B135" s="11" t="s">
        <v>2421</v>
      </c>
      <c r="C135" s="36">
        <v>534700</v>
      </c>
      <c r="E135" s="3" t="s">
        <v>2193</v>
      </c>
      <c r="F135" s="19">
        <v>754</v>
      </c>
      <c r="G135" s="19">
        <v>1425</v>
      </c>
      <c r="H135" s="19">
        <v>563.16</v>
      </c>
      <c r="I135" s="10">
        <v>258.75</v>
      </c>
      <c r="J135" s="9">
        <v>161.78</v>
      </c>
      <c r="K135" s="10">
        <v>0</v>
      </c>
      <c r="L135" s="9">
        <v>0</v>
      </c>
      <c r="M135" s="9">
        <v>1206</v>
      </c>
      <c r="N135" s="9">
        <v>0</v>
      </c>
      <c r="O135" s="9">
        <v>500</v>
      </c>
      <c r="P135" s="9">
        <v>500</v>
      </c>
      <c r="Q135" s="9">
        <v>500</v>
      </c>
      <c r="R135" s="9">
        <v>0</v>
      </c>
    </row>
    <row r="136" spans="2:18" ht="12.75" hidden="1">
      <c r="B136" s="11" t="s">
        <v>2422</v>
      </c>
      <c r="E136" s="3" t="s">
        <v>2423</v>
      </c>
      <c r="F136" s="19">
        <v>12720</v>
      </c>
      <c r="G136" s="19">
        <v>209444.42</v>
      </c>
      <c r="H136" s="19">
        <v>0</v>
      </c>
      <c r="I136" s="10">
        <v>0</v>
      </c>
      <c r="J136" s="9">
        <v>0</v>
      </c>
      <c r="K136" s="10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</row>
    <row r="137" spans="2:18" ht="12.75" hidden="1">
      <c r="B137" s="11">
        <v>5172.2</v>
      </c>
      <c r="E137" s="3" t="s">
        <v>2423</v>
      </c>
      <c r="F137" s="19">
        <v>272571</v>
      </c>
      <c r="G137" s="19">
        <v>1057.81</v>
      </c>
      <c r="H137" s="19">
        <v>0</v>
      </c>
      <c r="I137" s="10">
        <v>0</v>
      </c>
      <c r="J137" s="9">
        <v>0</v>
      </c>
      <c r="K137" s="10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</row>
    <row r="138" spans="2:18" ht="12.75" hidden="1">
      <c r="B138" s="11">
        <v>5172.3</v>
      </c>
      <c r="E138" s="3" t="s">
        <v>2806</v>
      </c>
      <c r="I138" s="10">
        <v>23393.48</v>
      </c>
      <c r="K138" s="10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</row>
    <row r="139" spans="1:18" ht="12.75">
      <c r="A139" s="3" t="s">
        <v>2424</v>
      </c>
      <c r="B139" s="11" t="s">
        <v>2425</v>
      </c>
      <c r="C139" s="36">
        <v>542100</v>
      </c>
      <c r="E139" s="3" t="s">
        <v>2335</v>
      </c>
      <c r="F139" s="19">
        <v>277</v>
      </c>
      <c r="G139" s="19">
        <v>788.94</v>
      </c>
      <c r="H139" s="19">
        <v>744.04</v>
      </c>
      <c r="I139" s="10">
        <v>1594.66</v>
      </c>
      <c r="J139" s="9">
        <v>827.71</v>
      </c>
      <c r="K139" s="10">
        <v>500</v>
      </c>
      <c r="L139" s="9">
        <v>460.71</v>
      </c>
      <c r="N139" s="9">
        <v>195.35</v>
      </c>
      <c r="O139" s="9">
        <v>1500</v>
      </c>
      <c r="P139" s="9">
        <v>1500</v>
      </c>
      <c r="Q139" s="9">
        <v>1000</v>
      </c>
      <c r="R139" s="9">
        <v>0</v>
      </c>
    </row>
    <row r="140" spans="1:18" ht="12.75" hidden="1">
      <c r="A140" s="3" t="s">
        <v>2427</v>
      </c>
      <c r="B140" s="11" t="s">
        <v>2428</v>
      </c>
      <c r="E140" s="3" t="s">
        <v>2264</v>
      </c>
      <c r="F140" s="19">
        <v>32</v>
      </c>
      <c r="G140" s="19">
        <v>31.75</v>
      </c>
      <c r="H140" s="19">
        <v>63.5</v>
      </c>
      <c r="I140" s="10">
        <v>38</v>
      </c>
      <c r="J140" s="9">
        <v>0</v>
      </c>
      <c r="K140" s="10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</row>
    <row r="141" spans="5:18" ht="12.75">
      <c r="E141" s="20" t="s">
        <v>2202</v>
      </c>
      <c r="F141" s="21">
        <f aca="true" t="shared" si="27" ref="F141:K141">SUM(F139:F140)</f>
        <v>309</v>
      </c>
      <c r="G141" s="21">
        <f t="shared" si="27"/>
        <v>820.69</v>
      </c>
      <c r="H141" s="21">
        <f t="shared" si="27"/>
        <v>807.54</v>
      </c>
      <c r="I141" s="22">
        <f t="shared" si="27"/>
        <v>1632.66</v>
      </c>
      <c r="J141" s="23">
        <f t="shared" si="27"/>
        <v>827.71</v>
      </c>
      <c r="K141" s="23">
        <f t="shared" si="27"/>
        <v>500</v>
      </c>
      <c r="L141" s="7">
        <f>SUM(L135:L139)</f>
        <v>460.71</v>
      </c>
      <c r="M141" s="7">
        <f aca="true" t="shared" si="28" ref="M141:R141">SUM(M135:M139)</f>
        <v>1206</v>
      </c>
      <c r="N141" s="7">
        <f>SUM(N135:N139)</f>
        <v>195.35</v>
      </c>
      <c r="O141" s="7">
        <f t="shared" si="28"/>
        <v>2000</v>
      </c>
      <c r="P141" s="7">
        <f t="shared" si="28"/>
        <v>2000</v>
      </c>
      <c r="Q141" s="7">
        <f t="shared" si="28"/>
        <v>1500</v>
      </c>
      <c r="R141" s="7">
        <f t="shared" si="28"/>
        <v>0</v>
      </c>
    </row>
    <row r="142" ht="6" customHeight="1">
      <c r="I142" s="10"/>
    </row>
    <row r="143" spans="1:18" ht="12.75" hidden="1">
      <c r="A143" s="3" t="s">
        <v>2429</v>
      </c>
      <c r="B143" s="11" t="s">
        <v>2430</v>
      </c>
      <c r="E143" s="3" t="s">
        <v>2389</v>
      </c>
      <c r="F143" s="19">
        <v>0</v>
      </c>
      <c r="G143" s="19">
        <v>0</v>
      </c>
      <c r="H143" s="19">
        <v>0</v>
      </c>
      <c r="I143" s="10">
        <v>0</v>
      </c>
      <c r="J143" s="9">
        <v>0</v>
      </c>
      <c r="K143" s="10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</row>
    <row r="144" spans="1:18" ht="12.75" hidden="1">
      <c r="A144" s="3" t="s">
        <v>2431</v>
      </c>
      <c r="B144" s="11" t="s">
        <v>2432</v>
      </c>
      <c r="E144" s="3" t="s">
        <v>2433</v>
      </c>
      <c r="F144" s="19">
        <v>335</v>
      </c>
      <c r="G144" s="19">
        <v>355</v>
      </c>
      <c r="H144" s="19">
        <v>335</v>
      </c>
      <c r="I144" s="10">
        <v>0</v>
      </c>
      <c r="J144" s="9">
        <v>0</v>
      </c>
      <c r="K144" s="10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</row>
    <row r="145" spans="5:18" ht="12.75" hidden="1">
      <c r="E145" s="20" t="s">
        <v>2274</v>
      </c>
      <c r="F145" s="25">
        <f aca="true" t="shared" si="29" ref="F145:L145">SUM(F143:F144)</f>
        <v>335</v>
      </c>
      <c r="G145" s="25">
        <f t="shared" si="29"/>
        <v>355</v>
      </c>
      <c r="H145" s="25">
        <f t="shared" si="29"/>
        <v>335</v>
      </c>
      <c r="I145" s="23">
        <f t="shared" si="29"/>
        <v>0</v>
      </c>
      <c r="J145" s="23">
        <f t="shared" si="29"/>
        <v>0</v>
      </c>
      <c r="K145" s="23">
        <f t="shared" si="29"/>
        <v>0</v>
      </c>
      <c r="L145" s="7">
        <f t="shared" si="29"/>
        <v>0</v>
      </c>
      <c r="M145" s="7">
        <f aca="true" t="shared" si="30" ref="M145:R145">SUM(M143:M144)</f>
        <v>0</v>
      </c>
      <c r="N145" s="7">
        <f t="shared" si="30"/>
        <v>0</v>
      </c>
      <c r="O145" s="7">
        <f t="shared" si="30"/>
        <v>0</v>
      </c>
      <c r="P145" s="7">
        <f t="shared" si="30"/>
        <v>0</v>
      </c>
      <c r="Q145" s="7">
        <f t="shared" si="30"/>
        <v>0</v>
      </c>
      <c r="R145" s="7">
        <f t="shared" si="30"/>
        <v>0</v>
      </c>
    </row>
    <row r="146" ht="12.75" hidden="1">
      <c r="I146" s="10"/>
    </row>
    <row r="147" spans="5:18" ht="12.75">
      <c r="E147" s="2" t="s">
        <v>2434</v>
      </c>
      <c r="F147" s="31">
        <f aca="true" t="shared" si="31" ref="F147:L147">SUM(F128:F145)/2</f>
        <v>152100</v>
      </c>
      <c r="G147" s="31">
        <f t="shared" si="31"/>
        <v>124374.74500000001</v>
      </c>
      <c r="H147" s="31">
        <f t="shared" si="31"/>
        <v>9724.495</v>
      </c>
      <c r="I147" s="28">
        <f t="shared" si="31"/>
        <v>29335.595</v>
      </c>
      <c r="J147" s="28">
        <f t="shared" si="31"/>
        <v>15940.269999999999</v>
      </c>
      <c r="K147" s="28">
        <f t="shared" si="31"/>
        <v>15043.02</v>
      </c>
      <c r="L147" s="32">
        <f t="shared" si="31"/>
        <v>15592.849999999999</v>
      </c>
      <c r="M147" s="32">
        <f>SUM(M128:M145)/2</f>
        <v>19392.17</v>
      </c>
      <c r="N147" s="32">
        <f>SUM(N141+N130)</f>
        <v>18347.55</v>
      </c>
      <c r="O147" s="32">
        <f>SUM(O141+O130)</f>
        <v>19277</v>
      </c>
      <c r="P147" s="32">
        <f>SUM(P141+P130)</f>
        <v>20040</v>
      </c>
      <c r="Q147" s="32">
        <f>SUM(Q141+Q130)</f>
        <v>20152</v>
      </c>
      <c r="R147" s="32">
        <f>SUM(R141+R130)</f>
        <v>0</v>
      </c>
    </row>
    <row r="148" spans="5:18" ht="12.75">
      <c r="E148" s="2"/>
      <c r="F148" s="31"/>
      <c r="G148" s="31"/>
      <c r="H148" s="31"/>
      <c r="I148" s="28"/>
      <c r="J148" s="28"/>
      <c r="K148" s="28"/>
      <c r="L148" s="32"/>
      <c r="M148" s="32"/>
      <c r="N148" s="32"/>
      <c r="O148" s="32"/>
      <c r="P148" s="32"/>
      <c r="Q148" s="32"/>
      <c r="R148" s="32"/>
    </row>
    <row r="149" spans="1:9" ht="12.75">
      <c r="A149" s="3" t="s">
        <v>2180</v>
      </c>
      <c r="E149" s="163" t="s">
        <v>2435</v>
      </c>
      <c r="I149" s="10"/>
    </row>
    <row r="150" spans="3:9" ht="12.75">
      <c r="C150" s="196">
        <v>11231</v>
      </c>
      <c r="D150" s="196"/>
      <c r="E150" s="2"/>
      <c r="I150" s="10"/>
    </row>
    <row r="151" spans="1:18" ht="12.75">
      <c r="A151" s="3" t="s">
        <v>2436</v>
      </c>
      <c r="B151" s="11" t="s">
        <v>2437</v>
      </c>
      <c r="C151" s="36">
        <v>511000</v>
      </c>
      <c r="E151" s="3" t="s">
        <v>2363</v>
      </c>
      <c r="F151" s="19">
        <v>212770</v>
      </c>
      <c r="G151" s="19">
        <v>109946.14</v>
      </c>
      <c r="H151" s="19">
        <v>136287.1</v>
      </c>
      <c r="I151" s="10">
        <v>156567.2</v>
      </c>
      <c r="J151" s="9">
        <v>175341.56</v>
      </c>
      <c r="K151" s="10">
        <v>193096.62</v>
      </c>
      <c r="L151" s="9">
        <v>195111.6</v>
      </c>
      <c r="M151" s="9">
        <v>194480.44</v>
      </c>
      <c r="N151" s="9">
        <v>180049.43</v>
      </c>
      <c r="O151" s="9">
        <v>196900</v>
      </c>
      <c r="P151" s="9">
        <v>241836</v>
      </c>
      <c r="Q151" s="9">
        <v>248437</v>
      </c>
      <c r="R151" s="9">
        <v>0</v>
      </c>
    </row>
    <row r="152" spans="1:18" ht="12.75">
      <c r="A152" s="3" t="s">
        <v>2438</v>
      </c>
      <c r="B152" s="11" t="s">
        <v>2439</v>
      </c>
      <c r="C152" s="36">
        <v>511100</v>
      </c>
      <c r="E152" s="3" t="s">
        <v>2370</v>
      </c>
      <c r="F152" s="19">
        <v>4011</v>
      </c>
      <c r="G152" s="19">
        <v>0</v>
      </c>
      <c r="H152" s="19">
        <v>0</v>
      </c>
      <c r="I152" s="10">
        <v>0</v>
      </c>
      <c r="J152" s="9">
        <v>0</v>
      </c>
      <c r="K152" s="10">
        <v>868.5</v>
      </c>
      <c r="L152" s="9">
        <v>2188.98</v>
      </c>
      <c r="M152" s="9">
        <v>557.44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</row>
    <row r="153" spans="1:18" ht="12.75" hidden="1">
      <c r="A153" s="3" t="s">
        <v>2440</v>
      </c>
      <c r="B153" s="11" t="s">
        <v>2441</v>
      </c>
      <c r="E153" s="3" t="s">
        <v>2186</v>
      </c>
      <c r="F153" s="19">
        <v>0</v>
      </c>
      <c r="G153" s="19">
        <v>0</v>
      </c>
      <c r="H153" s="19">
        <v>0</v>
      </c>
      <c r="I153" s="10">
        <v>0</v>
      </c>
      <c r="J153" s="9">
        <v>0</v>
      </c>
      <c r="K153" s="10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</row>
    <row r="154" spans="1:18" ht="12.75">
      <c r="A154" s="3" t="s">
        <v>2448</v>
      </c>
      <c r="B154" s="11" t="s">
        <v>2449</v>
      </c>
      <c r="C154" s="36">
        <v>517000</v>
      </c>
      <c r="E154" s="3" t="s">
        <v>2222</v>
      </c>
      <c r="F154" s="19">
        <v>24023</v>
      </c>
      <c r="G154" s="19">
        <v>8378</v>
      </c>
      <c r="H154" s="19">
        <v>15917</v>
      </c>
      <c r="I154" s="10">
        <v>13779</v>
      </c>
      <c r="J154" s="9">
        <v>17087</v>
      </c>
      <c r="K154" s="10">
        <v>9663</v>
      </c>
      <c r="L154" s="9">
        <v>11201</v>
      </c>
      <c r="M154" s="9">
        <v>10990.05</v>
      </c>
      <c r="N154" s="9">
        <v>12989</v>
      </c>
      <c r="O154" s="9">
        <v>5404</v>
      </c>
      <c r="P154" s="9">
        <v>5404</v>
      </c>
      <c r="Q154" s="9">
        <v>21403</v>
      </c>
      <c r="R154" s="9">
        <v>0</v>
      </c>
    </row>
    <row r="155" spans="1:18" ht="12.75" hidden="1">
      <c r="A155" s="3" t="s">
        <v>2442</v>
      </c>
      <c r="B155" s="11" t="s">
        <v>2443</v>
      </c>
      <c r="E155" s="3" t="s">
        <v>2288</v>
      </c>
      <c r="F155" s="19">
        <v>275</v>
      </c>
      <c r="G155" s="19">
        <v>0</v>
      </c>
      <c r="H155" s="19">
        <v>0</v>
      </c>
      <c r="I155" s="10">
        <v>0</v>
      </c>
      <c r="J155" s="9">
        <v>0</v>
      </c>
      <c r="K155" s="10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</row>
    <row r="156" spans="1:18" ht="12.75">
      <c r="A156" s="3" t="s">
        <v>2444</v>
      </c>
      <c r="B156" s="11" t="s">
        <v>2445</v>
      </c>
      <c r="C156" s="36">
        <v>517200</v>
      </c>
      <c r="E156" s="3" t="s">
        <v>2683</v>
      </c>
      <c r="F156" s="19">
        <v>350</v>
      </c>
      <c r="G156" s="19">
        <v>263</v>
      </c>
      <c r="H156" s="19">
        <v>263</v>
      </c>
      <c r="I156" s="10">
        <v>263</v>
      </c>
      <c r="J156" s="9">
        <v>263</v>
      </c>
      <c r="K156" s="10">
        <v>263</v>
      </c>
      <c r="L156" s="9">
        <v>263</v>
      </c>
      <c r="M156" s="9">
        <v>914</v>
      </c>
      <c r="N156" s="9">
        <v>875</v>
      </c>
      <c r="O156" s="9">
        <v>831</v>
      </c>
      <c r="P156" s="9">
        <v>831</v>
      </c>
      <c r="Q156" s="9">
        <v>873</v>
      </c>
      <c r="R156" s="9">
        <v>0</v>
      </c>
    </row>
    <row r="157" spans="1:18" ht="12.75" hidden="1">
      <c r="A157" s="3" t="s">
        <v>2446</v>
      </c>
      <c r="B157" s="11" t="s">
        <v>2447</v>
      </c>
      <c r="E157" s="3" t="s">
        <v>2219</v>
      </c>
      <c r="F157" s="19">
        <v>48</v>
      </c>
      <c r="G157" s="19">
        <v>48</v>
      </c>
      <c r="H157" s="19">
        <v>48</v>
      </c>
      <c r="I157" s="10">
        <v>0</v>
      </c>
      <c r="J157" s="9">
        <v>0</v>
      </c>
      <c r="K157" s="10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</row>
    <row r="158" spans="1:18" ht="12.75">
      <c r="A158" s="3" t="s">
        <v>2450</v>
      </c>
      <c r="B158" s="11" t="s">
        <v>2451</v>
      </c>
      <c r="C158" s="36">
        <v>517800</v>
      </c>
      <c r="E158" s="3" t="s">
        <v>2298</v>
      </c>
      <c r="F158" s="19">
        <v>2339</v>
      </c>
      <c r="G158" s="19">
        <v>1590</v>
      </c>
      <c r="H158" s="19">
        <v>2403</v>
      </c>
      <c r="I158" s="10">
        <v>1970</v>
      </c>
      <c r="J158" s="9">
        <v>2750</v>
      </c>
      <c r="K158" s="10">
        <v>2900</v>
      </c>
      <c r="L158" s="9">
        <v>2900</v>
      </c>
      <c r="M158" s="9">
        <v>3050</v>
      </c>
      <c r="N158" s="9">
        <v>3180</v>
      </c>
      <c r="O158" s="9">
        <v>3814</v>
      </c>
      <c r="P158" s="9">
        <v>3814</v>
      </c>
      <c r="Q158" s="9">
        <v>3773</v>
      </c>
      <c r="R158" s="9">
        <v>0</v>
      </c>
    </row>
    <row r="159" spans="2:17" ht="12.75">
      <c r="B159" s="11">
        <v>5205.5</v>
      </c>
      <c r="C159" s="36">
        <v>573200</v>
      </c>
      <c r="E159" s="3" t="s">
        <v>2466</v>
      </c>
      <c r="I159" s="10"/>
      <c r="K159" s="10"/>
      <c r="N159" s="9">
        <v>1489.77</v>
      </c>
      <c r="P159" s="9">
        <v>1600</v>
      </c>
      <c r="Q159" s="9">
        <v>1600</v>
      </c>
    </row>
    <row r="160" spans="2:13" ht="12.75">
      <c r="B160" s="11">
        <v>5201.5</v>
      </c>
      <c r="E160" s="3" t="s">
        <v>2007</v>
      </c>
      <c r="I160" s="10"/>
      <c r="K160" s="10"/>
      <c r="M160" s="9">
        <v>4500</v>
      </c>
    </row>
    <row r="161" spans="2:12" ht="12.75" hidden="1">
      <c r="B161" s="11" t="s">
        <v>2452</v>
      </c>
      <c r="E161" s="3" t="s">
        <v>2012</v>
      </c>
      <c r="F161" s="19">
        <v>0</v>
      </c>
      <c r="G161" s="19">
        <v>0</v>
      </c>
      <c r="H161" s="19">
        <v>0</v>
      </c>
      <c r="I161" s="10">
        <v>0</v>
      </c>
      <c r="J161" s="9">
        <v>0</v>
      </c>
      <c r="K161" s="10">
        <v>0</v>
      </c>
      <c r="L161" s="9">
        <v>0</v>
      </c>
    </row>
    <row r="162" spans="5:18" ht="13.5" customHeight="1">
      <c r="E162" s="20" t="s">
        <v>2187</v>
      </c>
      <c r="F162" s="21">
        <f aca="true" t="shared" si="32" ref="F162:L162">SUM(F151:F161)</f>
        <v>243816</v>
      </c>
      <c r="G162" s="21">
        <f t="shared" si="32"/>
        <v>120225.14</v>
      </c>
      <c r="H162" s="21">
        <f t="shared" si="32"/>
        <v>154918.1</v>
      </c>
      <c r="I162" s="22">
        <f t="shared" si="32"/>
        <v>172579.2</v>
      </c>
      <c r="J162" s="23">
        <f t="shared" si="32"/>
        <v>195441.56</v>
      </c>
      <c r="K162" s="23">
        <f t="shared" si="32"/>
        <v>206791.12</v>
      </c>
      <c r="L162" s="7">
        <f t="shared" si="32"/>
        <v>211664.58000000002</v>
      </c>
      <c r="M162" s="7">
        <f aca="true" t="shared" si="33" ref="M162:R162">SUM(M151:M161)</f>
        <v>214491.93</v>
      </c>
      <c r="N162" s="7">
        <f t="shared" si="33"/>
        <v>198583.19999999998</v>
      </c>
      <c r="O162" s="7">
        <f t="shared" si="33"/>
        <v>206949</v>
      </c>
      <c r="P162" s="7">
        <f t="shared" si="33"/>
        <v>253485</v>
      </c>
      <c r="Q162" s="7">
        <f t="shared" si="33"/>
        <v>276086</v>
      </c>
      <c r="R162" s="7">
        <f t="shared" si="33"/>
        <v>0</v>
      </c>
    </row>
    <row r="163" spans="3:9" ht="12.75">
      <c r="C163" s="196">
        <v>11232</v>
      </c>
      <c r="D163" s="196"/>
      <c r="I163" s="10"/>
    </row>
    <row r="164" spans="1:18" ht="12.75">
      <c r="A164" s="3" t="s">
        <v>2453</v>
      </c>
      <c r="B164" s="11" t="s">
        <v>2454</v>
      </c>
      <c r="C164" s="36">
        <v>524500</v>
      </c>
      <c r="E164" s="3" t="s">
        <v>2455</v>
      </c>
      <c r="F164" s="19">
        <v>0</v>
      </c>
      <c r="G164" s="19">
        <v>148.2</v>
      </c>
      <c r="H164" s="19">
        <v>0</v>
      </c>
      <c r="I164" s="10">
        <v>338.99</v>
      </c>
      <c r="J164" s="9">
        <v>83.65</v>
      </c>
      <c r="K164" s="10">
        <v>213.83</v>
      </c>
      <c r="L164" s="9">
        <v>171.3</v>
      </c>
      <c r="M164" s="9">
        <v>391.48</v>
      </c>
      <c r="N164" s="9">
        <v>433.67</v>
      </c>
      <c r="O164" s="9">
        <v>500</v>
      </c>
      <c r="P164" s="9">
        <v>500</v>
      </c>
      <c r="Q164" s="9">
        <v>500</v>
      </c>
      <c r="R164" s="9">
        <v>0</v>
      </c>
    </row>
    <row r="165" spans="1:18" ht="12.75">
      <c r="A165" s="3" t="s">
        <v>2456</v>
      </c>
      <c r="B165" s="11" t="s">
        <v>2457</v>
      </c>
      <c r="C165" s="36">
        <v>527200</v>
      </c>
      <c r="E165" s="3" t="s">
        <v>2458</v>
      </c>
      <c r="F165" s="19">
        <v>7515</v>
      </c>
      <c r="G165" s="19">
        <v>7122.26</v>
      </c>
      <c r="H165" s="19">
        <v>1526.76</v>
      </c>
      <c r="I165" s="10">
        <v>5055.98</v>
      </c>
      <c r="J165" s="9">
        <v>5399.92</v>
      </c>
      <c r="K165" s="10">
        <v>5700.24</v>
      </c>
      <c r="L165" s="9">
        <v>5344.92</v>
      </c>
      <c r="M165" s="9">
        <v>3918.44</v>
      </c>
      <c r="N165" s="9">
        <v>4923.11</v>
      </c>
      <c r="O165" s="9">
        <v>5800</v>
      </c>
      <c r="P165" s="9">
        <v>5800</v>
      </c>
      <c r="Q165" s="9">
        <v>5800</v>
      </c>
      <c r="R165" s="9">
        <v>0</v>
      </c>
    </row>
    <row r="166" spans="1:18" ht="12.75">
      <c r="A166" s="3" t="s">
        <v>2459</v>
      </c>
      <c r="B166" s="11" t="s">
        <v>2460</v>
      </c>
      <c r="C166" s="36">
        <v>530000</v>
      </c>
      <c r="E166" s="3" t="s">
        <v>2379</v>
      </c>
      <c r="F166" s="19">
        <v>17646</v>
      </c>
      <c r="G166" s="19">
        <v>5475</v>
      </c>
      <c r="H166" s="19">
        <v>8382.4</v>
      </c>
      <c r="I166" s="10">
        <v>0</v>
      </c>
      <c r="J166" s="9">
        <v>15951.9</v>
      </c>
      <c r="K166" s="10">
        <v>10386.67</v>
      </c>
      <c r="L166" s="9">
        <v>65</v>
      </c>
      <c r="M166" s="9">
        <v>24650.4</v>
      </c>
      <c r="N166" s="9">
        <v>31736.62</v>
      </c>
      <c r="O166" s="9">
        <v>25000</v>
      </c>
      <c r="P166" s="9">
        <v>25000</v>
      </c>
      <c r="Q166" s="9">
        <v>25000</v>
      </c>
      <c r="R166" s="9">
        <v>0</v>
      </c>
    </row>
    <row r="167" spans="1:18" ht="12.75">
      <c r="A167" s="3" t="s">
        <v>2461</v>
      </c>
      <c r="B167" s="11" t="s">
        <v>2462</v>
      </c>
      <c r="C167" s="36">
        <v>531700</v>
      </c>
      <c r="E167" s="3" t="s">
        <v>2463</v>
      </c>
      <c r="F167" s="19">
        <v>25783</v>
      </c>
      <c r="G167" s="19">
        <v>37562.5</v>
      </c>
      <c r="H167" s="19">
        <v>0</v>
      </c>
      <c r="I167" s="10">
        <v>99</v>
      </c>
      <c r="J167" s="9">
        <v>9200</v>
      </c>
      <c r="K167" s="10">
        <v>0</v>
      </c>
      <c r="L167" s="9">
        <v>0</v>
      </c>
      <c r="M167" s="9">
        <v>0</v>
      </c>
      <c r="N167" s="9">
        <v>0</v>
      </c>
      <c r="O167" s="9">
        <v>200</v>
      </c>
      <c r="P167" s="9">
        <v>200</v>
      </c>
      <c r="Q167" s="9">
        <v>0</v>
      </c>
      <c r="R167" s="9">
        <v>0</v>
      </c>
    </row>
    <row r="168" spans="1:18" ht="12.75">
      <c r="A168" s="3" t="s">
        <v>2464</v>
      </c>
      <c r="B168" s="11" t="s">
        <v>2465</v>
      </c>
      <c r="C168" s="36">
        <v>531900</v>
      </c>
      <c r="E168" s="3" t="s">
        <v>2467</v>
      </c>
      <c r="F168" s="19">
        <v>6880</v>
      </c>
      <c r="G168" s="19">
        <v>663</v>
      </c>
      <c r="H168" s="19">
        <v>401.09</v>
      </c>
      <c r="I168" s="10">
        <v>721.67</v>
      </c>
      <c r="J168" s="9">
        <v>643.42</v>
      </c>
      <c r="K168" s="10">
        <v>353.1</v>
      </c>
      <c r="L168" s="9">
        <v>603.61</v>
      </c>
      <c r="M168" s="9">
        <v>1188.18</v>
      </c>
      <c r="N168" s="9">
        <v>845.11</v>
      </c>
      <c r="O168" s="9">
        <v>1000</v>
      </c>
      <c r="P168" s="9">
        <v>1000</v>
      </c>
      <c r="Q168" s="9">
        <v>1000</v>
      </c>
      <c r="R168" s="9">
        <v>0</v>
      </c>
    </row>
    <row r="169" spans="1:18" ht="12.75">
      <c r="A169" s="3" t="s">
        <v>2468</v>
      </c>
      <c r="B169" s="11" t="s">
        <v>2469</v>
      </c>
      <c r="C169" s="36">
        <v>534100</v>
      </c>
      <c r="E169" s="3" t="s">
        <v>2470</v>
      </c>
      <c r="F169" s="19">
        <v>0</v>
      </c>
      <c r="G169" s="19">
        <v>1403.19</v>
      </c>
      <c r="H169" s="19">
        <v>758.88</v>
      </c>
      <c r="I169" s="10">
        <v>1152.08</v>
      </c>
      <c r="J169" s="9">
        <v>1276.37</v>
      </c>
      <c r="K169" s="10">
        <v>1123.6</v>
      </c>
      <c r="L169" s="9">
        <v>953.57</v>
      </c>
      <c r="M169" s="9">
        <v>980.86</v>
      </c>
      <c r="N169" s="9">
        <v>518.83</v>
      </c>
      <c r="O169" s="9">
        <v>1200</v>
      </c>
      <c r="P169" s="9">
        <v>1200</v>
      </c>
      <c r="Q169" s="9">
        <v>720</v>
      </c>
      <c r="R169" s="9">
        <v>0</v>
      </c>
    </row>
    <row r="170" spans="1:18" ht="12.75">
      <c r="A170" s="3" t="s">
        <v>2471</v>
      </c>
      <c r="B170" s="11" t="s">
        <v>2472</v>
      </c>
      <c r="C170" s="36">
        <v>534600</v>
      </c>
      <c r="E170" s="3" t="s">
        <v>2473</v>
      </c>
      <c r="F170" s="19">
        <v>994</v>
      </c>
      <c r="G170" s="19">
        <v>155.45</v>
      </c>
      <c r="H170" s="19">
        <v>1549.06</v>
      </c>
      <c r="I170" s="10">
        <v>479.38</v>
      </c>
      <c r="J170" s="9">
        <v>88.11</v>
      </c>
      <c r="K170" s="10">
        <v>52.31</v>
      </c>
      <c r="L170" s="9">
        <v>0</v>
      </c>
      <c r="M170" s="9">
        <v>88.11</v>
      </c>
      <c r="N170" s="9">
        <v>14.89</v>
      </c>
      <c r="O170" s="9">
        <v>700</v>
      </c>
      <c r="P170" s="9">
        <v>700</v>
      </c>
      <c r="Q170" s="9">
        <v>700</v>
      </c>
      <c r="R170" s="9">
        <v>0</v>
      </c>
    </row>
    <row r="171" spans="1:18" ht="12.75" hidden="1">
      <c r="A171" s="3" t="s">
        <v>2474</v>
      </c>
      <c r="B171" s="11" t="s">
        <v>2475</v>
      </c>
      <c r="E171" s="3" t="s">
        <v>2476</v>
      </c>
      <c r="F171" s="19">
        <v>1998</v>
      </c>
      <c r="G171" s="19">
        <v>4687.65</v>
      </c>
      <c r="H171" s="19">
        <v>4387.76</v>
      </c>
      <c r="I171" s="10">
        <v>951.6</v>
      </c>
      <c r="J171" s="9">
        <v>424.11</v>
      </c>
      <c r="K171" s="10">
        <v>100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</row>
    <row r="172" spans="1:18" ht="12.75" hidden="1">
      <c r="A172" s="3" t="s">
        <v>2477</v>
      </c>
      <c r="B172" s="11" t="s">
        <v>2478</v>
      </c>
      <c r="E172" s="3" t="s">
        <v>2479</v>
      </c>
      <c r="F172" s="19">
        <v>73</v>
      </c>
      <c r="G172" s="19">
        <v>0</v>
      </c>
      <c r="H172" s="19">
        <v>0</v>
      </c>
      <c r="I172" s="10">
        <v>0</v>
      </c>
      <c r="J172" s="9">
        <v>0</v>
      </c>
      <c r="K172" s="10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</row>
    <row r="173" spans="1:18" ht="12.75" hidden="1">
      <c r="A173" s="3" t="s">
        <v>2477</v>
      </c>
      <c r="B173" s="11">
        <v>5214.2</v>
      </c>
      <c r="E173" s="3" t="s">
        <v>2593</v>
      </c>
      <c r="F173" s="19">
        <v>0</v>
      </c>
      <c r="G173" s="19">
        <v>125850.36</v>
      </c>
      <c r="H173" s="19">
        <v>59451.43</v>
      </c>
      <c r="I173" s="10">
        <v>15062.5</v>
      </c>
      <c r="J173" s="9">
        <v>0</v>
      </c>
      <c r="K173" s="10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</row>
    <row r="174" spans="1:18" ht="12.75">
      <c r="A174" s="3" t="s">
        <v>2595</v>
      </c>
      <c r="B174" s="11" t="s">
        <v>2596</v>
      </c>
      <c r="C174" s="36">
        <v>542100</v>
      </c>
      <c r="E174" s="3" t="s">
        <v>2335</v>
      </c>
      <c r="F174" s="19">
        <v>1969</v>
      </c>
      <c r="G174" s="19">
        <v>4351.85</v>
      </c>
      <c r="H174" s="19">
        <v>1198.22</v>
      </c>
      <c r="I174" s="10">
        <v>1259.94</v>
      </c>
      <c r="J174" s="9">
        <v>953.54</v>
      </c>
      <c r="K174" s="10">
        <v>389.1</v>
      </c>
      <c r="L174" s="9">
        <v>1044.48</v>
      </c>
      <c r="M174" s="9">
        <v>937.97</v>
      </c>
      <c r="N174" s="9">
        <v>1111.33</v>
      </c>
      <c r="O174" s="9">
        <v>1100</v>
      </c>
      <c r="P174" s="9">
        <v>1100</v>
      </c>
      <c r="Q174" s="9">
        <v>1100</v>
      </c>
      <c r="R174" s="9">
        <v>0</v>
      </c>
    </row>
    <row r="175" spans="1:18" ht="12.75">
      <c r="A175" s="3" t="s">
        <v>2597</v>
      </c>
      <c r="B175" s="11" t="s">
        <v>2613</v>
      </c>
      <c r="C175" s="36">
        <v>542100</v>
      </c>
      <c r="E175" s="3" t="s">
        <v>2614</v>
      </c>
      <c r="F175" s="19">
        <v>1252</v>
      </c>
      <c r="G175" s="19">
        <v>1317.87</v>
      </c>
      <c r="H175" s="19">
        <v>598.87</v>
      </c>
      <c r="I175" s="10">
        <v>863.58</v>
      </c>
      <c r="J175" s="9">
        <v>815.5</v>
      </c>
      <c r="K175" s="10">
        <v>658.7</v>
      </c>
      <c r="L175" s="9">
        <v>652.41</v>
      </c>
      <c r="M175" s="9">
        <v>589.72</v>
      </c>
      <c r="N175" s="9">
        <v>8.28</v>
      </c>
      <c r="O175" s="9">
        <v>800</v>
      </c>
      <c r="P175" s="9">
        <v>800</v>
      </c>
      <c r="Q175" s="9">
        <v>800</v>
      </c>
      <c r="R175" s="9">
        <v>0</v>
      </c>
    </row>
    <row r="176" spans="1:18" ht="12.75">
      <c r="A176" s="3" t="s">
        <v>2615</v>
      </c>
      <c r="B176" s="11" t="s">
        <v>2616</v>
      </c>
      <c r="C176" s="36">
        <v>552900</v>
      </c>
      <c r="E176" s="3" t="s">
        <v>2617</v>
      </c>
      <c r="F176" s="19">
        <v>642</v>
      </c>
      <c r="G176" s="19">
        <v>612</v>
      </c>
      <c r="H176" s="19">
        <v>247.77</v>
      </c>
      <c r="I176" s="10">
        <v>357.38</v>
      </c>
      <c r="J176" s="9">
        <v>109.5</v>
      </c>
      <c r="K176" s="10">
        <v>142.32</v>
      </c>
      <c r="L176" s="9">
        <v>204.62</v>
      </c>
      <c r="M176" s="9">
        <v>72.6</v>
      </c>
      <c r="N176" s="9">
        <v>0</v>
      </c>
      <c r="O176" s="9">
        <v>200</v>
      </c>
      <c r="P176" s="9">
        <v>200</v>
      </c>
      <c r="Q176" s="9">
        <v>100</v>
      </c>
      <c r="R176" s="9">
        <v>0</v>
      </c>
    </row>
    <row r="177" spans="1:18" ht="12.75">
      <c r="A177" s="3" t="s">
        <v>2618</v>
      </c>
      <c r="B177" s="11" t="s">
        <v>2619</v>
      </c>
      <c r="C177" s="36">
        <v>571000</v>
      </c>
      <c r="E177" s="3" t="s">
        <v>2389</v>
      </c>
      <c r="F177" s="19">
        <v>6559</v>
      </c>
      <c r="G177" s="19">
        <v>3747.78</v>
      </c>
      <c r="H177" s="19">
        <v>3531.31</v>
      </c>
      <c r="I177" s="10">
        <v>3218.03</v>
      </c>
      <c r="J177" s="9">
        <v>1440.28</v>
      </c>
      <c r="K177" s="10">
        <v>3591.19</v>
      </c>
      <c r="L177" s="9">
        <v>2956.86</v>
      </c>
      <c r="M177" s="9">
        <v>1325</v>
      </c>
      <c r="N177" s="9">
        <v>824.12</v>
      </c>
      <c r="O177" s="9">
        <v>3500</v>
      </c>
      <c r="P177" s="9">
        <v>3500</v>
      </c>
      <c r="Q177" s="9">
        <v>800</v>
      </c>
      <c r="R177" s="9">
        <v>0</v>
      </c>
    </row>
    <row r="178" spans="1:14" ht="12.75" hidden="1">
      <c r="A178" s="3" t="s">
        <v>2620</v>
      </c>
      <c r="B178" s="11" t="s">
        <v>2621</v>
      </c>
      <c r="E178" s="3" t="s">
        <v>2350</v>
      </c>
      <c r="F178" s="19">
        <v>0</v>
      </c>
      <c r="G178" s="19">
        <v>0</v>
      </c>
      <c r="H178" s="19">
        <v>0</v>
      </c>
      <c r="I178" s="10">
        <v>259.2</v>
      </c>
      <c r="J178" s="9">
        <v>0</v>
      </c>
      <c r="K178" s="10">
        <v>0</v>
      </c>
      <c r="L178" s="9">
        <v>0</v>
      </c>
      <c r="M178" s="9">
        <v>0</v>
      </c>
      <c r="N178" s="9">
        <v>0</v>
      </c>
    </row>
    <row r="179" spans="1:18" ht="12.75">
      <c r="A179" s="3" t="s">
        <v>2622</v>
      </c>
      <c r="B179" s="11" t="s">
        <v>2623</v>
      </c>
      <c r="C179" s="36">
        <v>573000</v>
      </c>
      <c r="E179" s="3" t="s">
        <v>2395</v>
      </c>
      <c r="F179" s="19">
        <v>1261</v>
      </c>
      <c r="G179" s="19">
        <v>7350.93</v>
      </c>
      <c r="H179" s="19">
        <v>1494.74</v>
      </c>
      <c r="I179" s="10">
        <v>1333.29</v>
      </c>
      <c r="J179" s="9">
        <v>1427.12</v>
      </c>
      <c r="K179" s="10">
        <v>1469.95</v>
      </c>
      <c r="L179" s="9">
        <v>1658.45</v>
      </c>
      <c r="M179" s="9">
        <v>1575.77</v>
      </c>
      <c r="N179" s="9">
        <v>1805.28</v>
      </c>
      <c r="O179" s="9">
        <v>2100</v>
      </c>
      <c r="P179" s="9">
        <v>2100</v>
      </c>
      <c r="Q179" s="9">
        <v>2100</v>
      </c>
      <c r="R179" s="9">
        <v>0</v>
      </c>
    </row>
    <row r="180" spans="5:18" ht="12.75">
      <c r="E180" s="20" t="s">
        <v>2274</v>
      </c>
      <c r="F180" s="21">
        <f aca="true" t="shared" si="34" ref="F180:K180">SUM(F177:F179)</f>
        <v>7820</v>
      </c>
      <c r="G180" s="21">
        <f t="shared" si="34"/>
        <v>11098.710000000001</v>
      </c>
      <c r="H180" s="21">
        <f t="shared" si="34"/>
        <v>5026.05</v>
      </c>
      <c r="I180" s="22">
        <f t="shared" si="34"/>
        <v>4810.52</v>
      </c>
      <c r="J180" s="23">
        <f t="shared" si="34"/>
        <v>2867.3999999999996</v>
      </c>
      <c r="K180" s="23">
        <f t="shared" si="34"/>
        <v>5061.14</v>
      </c>
      <c r="L180" s="7">
        <f>SUM(L164:L179)</f>
        <v>13655.220000000001</v>
      </c>
      <c r="M180" s="7">
        <f aca="true" t="shared" si="35" ref="M180:R180">SUM(M164:M179)</f>
        <v>35718.53</v>
      </c>
      <c r="N180" s="7">
        <f t="shared" si="35"/>
        <v>42221.240000000005</v>
      </c>
      <c r="O180" s="7">
        <f t="shared" si="35"/>
        <v>42100</v>
      </c>
      <c r="P180" s="7">
        <f t="shared" si="35"/>
        <v>42100</v>
      </c>
      <c r="Q180" s="7">
        <f t="shared" si="35"/>
        <v>38620</v>
      </c>
      <c r="R180" s="7">
        <f t="shared" si="35"/>
        <v>0</v>
      </c>
    </row>
    <row r="181" ht="6" customHeight="1">
      <c r="I181" s="10"/>
    </row>
    <row r="182" spans="1:18" ht="12.75" hidden="1">
      <c r="A182" s="3" t="s">
        <v>2624</v>
      </c>
      <c r="B182" s="11" t="s">
        <v>2625</v>
      </c>
      <c r="E182" s="3" t="s">
        <v>2626</v>
      </c>
      <c r="F182" s="19">
        <v>0</v>
      </c>
      <c r="G182" s="19">
        <v>0</v>
      </c>
      <c r="H182" s="19">
        <v>1234</v>
      </c>
      <c r="I182" s="10">
        <v>4372.57</v>
      </c>
      <c r="J182" s="9">
        <v>0</v>
      </c>
      <c r="K182" s="10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</row>
    <row r="183" spans="2:18" ht="12.75" hidden="1">
      <c r="B183" s="11">
        <v>5222</v>
      </c>
      <c r="E183" s="3" t="s">
        <v>2627</v>
      </c>
      <c r="F183" s="19">
        <v>0</v>
      </c>
      <c r="G183" s="19">
        <v>0</v>
      </c>
      <c r="H183" s="19">
        <v>55.76</v>
      </c>
      <c r="I183" s="10">
        <v>0</v>
      </c>
      <c r="J183" s="9">
        <v>0</v>
      </c>
      <c r="K183" s="10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</row>
    <row r="184" spans="5:18" ht="12.75" hidden="1">
      <c r="E184" s="20" t="s">
        <v>2277</v>
      </c>
      <c r="F184" s="25">
        <f aca="true" t="shared" si="36" ref="F184:L184">SUM(F182:F183)</f>
        <v>0</v>
      </c>
      <c r="G184" s="25">
        <f t="shared" si="36"/>
        <v>0</v>
      </c>
      <c r="H184" s="25">
        <f t="shared" si="36"/>
        <v>1289.76</v>
      </c>
      <c r="I184" s="23">
        <f t="shared" si="36"/>
        <v>4372.57</v>
      </c>
      <c r="J184" s="23">
        <f t="shared" si="36"/>
        <v>0</v>
      </c>
      <c r="K184" s="23">
        <f t="shared" si="36"/>
        <v>0</v>
      </c>
      <c r="L184" s="7">
        <f t="shared" si="36"/>
        <v>0</v>
      </c>
      <c r="M184" s="7">
        <f aca="true" t="shared" si="37" ref="M184:R184">SUM(M182:M183)</f>
        <v>0</v>
      </c>
      <c r="N184" s="7">
        <f t="shared" si="37"/>
        <v>0</v>
      </c>
      <c r="O184" s="7">
        <f t="shared" si="37"/>
        <v>0</v>
      </c>
      <c r="P184" s="7">
        <f t="shared" si="37"/>
        <v>0</v>
      </c>
      <c r="Q184" s="7">
        <f t="shared" si="37"/>
        <v>0</v>
      </c>
      <c r="R184" s="7">
        <f t="shared" si="37"/>
        <v>0</v>
      </c>
    </row>
    <row r="185" ht="6" customHeight="1">
      <c r="I185" s="10"/>
    </row>
    <row r="186" spans="5:18" ht="12.75">
      <c r="E186" s="2" t="s">
        <v>2628</v>
      </c>
      <c r="F186" s="31">
        <f aca="true" t="shared" si="38" ref="F186:K186">SUM(F151:F184)/2</f>
        <v>284012</v>
      </c>
      <c r="G186" s="31">
        <f t="shared" si="38"/>
        <v>225998.515</v>
      </c>
      <c r="H186" s="31">
        <f t="shared" si="38"/>
        <v>200485.03000000003</v>
      </c>
      <c r="I186" s="28">
        <f t="shared" si="38"/>
        <v>194933.34000000003</v>
      </c>
      <c r="J186" s="28">
        <f t="shared" si="38"/>
        <v>215781.97</v>
      </c>
      <c r="K186" s="28">
        <f t="shared" si="38"/>
        <v>221412.19499999998</v>
      </c>
      <c r="L186" s="32">
        <f aca="true" t="shared" si="39" ref="L186:Q186">SUM(L180+L162)</f>
        <v>225319.80000000002</v>
      </c>
      <c r="M186" s="32">
        <f t="shared" si="39"/>
        <v>250210.46</v>
      </c>
      <c r="N186" s="32">
        <f t="shared" si="39"/>
        <v>240804.44</v>
      </c>
      <c r="O186" s="32">
        <f t="shared" si="39"/>
        <v>249049</v>
      </c>
      <c r="P186" s="32">
        <f t="shared" si="39"/>
        <v>295585</v>
      </c>
      <c r="Q186" s="32">
        <f t="shared" si="39"/>
        <v>314706</v>
      </c>
      <c r="R186" s="32">
        <f>SUM(R180+R162)</f>
        <v>0</v>
      </c>
    </row>
    <row r="187" spans="5:18" ht="12.75">
      <c r="E187" s="2"/>
      <c r="F187" s="31"/>
      <c r="G187" s="31"/>
      <c r="H187" s="31"/>
      <c r="I187" s="28"/>
      <c r="J187" s="28"/>
      <c r="K187" s="28"/>
      <c r="L187" s="32"/>
      <c r="M187" s="32"/>
      <c r="N187" s="32"/>
      <c r="O187" s="32"/>
      <c r="P187" s="32"/>
      <c r="Q187" s="32"/>
      <c r="R187" s="32"/>
    </row>
    <row r="188" spans="1:5" ht="12.75">
      <c r="A188" s="3" t="s">
        <v>2180</v>
      </c>
      <c r="B188" s="36"/>
      <c r="C188" s="196">
        <v>11512</v>
      </c>
      <c r="D188" s="196"/>
      <c r="E188" s="163" t="s">
        <v>2664</v>
      </c>
    </row>
    <row r="189" spans="1:18" ht="12.75">
      <c r="A189" s="3" t="s">
        <v>2665</v>
      </c>
      <c r="B189" s="36" t="s">
        <v>2666</v>
      </c>
      <c r="C189" s="36">
        <v>530100</v>
      </c>
      <c r="E189" s="3" t="s">
        <v>2667</v>
      </c>
      <c r="F189" s="19">
        <v>167692</v>
      </c>
      <c r="G189" s="19">
        <v>226373.33</v>
      </c>
      <c r="H189" s="19">
        <v>218494.38</v>
      </c>
      <c r="I189" s="10">
        <v>220384.49</v>
      </c>
      <c r="J189" s="9">
        <v>198790.64</v>
      </c>
      <c r="K189" s="10">
        <v>381911.92</v>
      </c>
      <c r="L189" s="9">
        <v>312816.01</v>
      </c>
      <c r="M189" s="9">
        <v>257353.56</v>
      </c>
      <c r="N189" s="9">
        <v>230509.63</v>
      </c>
      <c r="O189" s="9">
        <v>290000</v>
      </c>
      <c r="P189" s="9">
        <v>290000</v>
      </c>
      <c r="Q189" s="9">
        <v>290000</v>
      </c>
      <c r="R189" s="9">
        <v>0</v>
      </c>
    </row>
    <row r="190" spans="1:18" ht="12.75">
      <c r="A190" s="3" t="s">
        <v>2668</v>
      </c>
      <c r="B190" s="11" t="s">
        <v>2669</v>
      </c>
      <c r="C190" s="36">
        <v>576100</v>
      </c>
      <c r="E190" s="3" t="s">
        <v>2670</v>
      </c>
      <c r="F190" s="19">
        <v>1206</v>
      </c>
      <c r="G190" s="19">
        <v>5342.71</v>
      </c>
      <c r="H190" s="19">
        <v>18697.94</v>
      </c>
      <c r="I190" s="10">
        <v>5412.26</v>
      </c>
      <c r="J190" s="9">
        <v>16944.01</v>
      </c>
      <c r="K190" s="10">
        <v>5247.23</v>
      </c>
      <c r="L190" s="9">
        <v>269428.44</v>
      </c>
      <c r="M190" s="9">
        <v>2440</v>
      </c>
      <c r="N190" s="9">
        <v>113.96</v>
      </c>
      <c r="O190" s="9">
        <v>5000</v>
      </c>
      <c r="P190" s="9">
        <v>5000</v>
      </c>
      <c r="Q190" s="9">
        <v>5000</v>
      </c>
      <c r="R190" s="9">
        <v>0</v>
      </c>
    </row>
    <row r="191" spans="5:18" ht="12.75">
      <c r="E191" s="20" t="s">
        <v>2274</v>
      </c>
      <c r="F191" s="25">
        <f aca="true" t="shared" si="40" ref="F191:K191">SUM(F190)</f>
        <v>1206</v>
      </c>
      <c r="G191" s="25">
        <f t="shared" si="40"/>
        <v>5342.71</v>
      </c>
      <c r="H191" s="25">
        <f t="shared" si="40"/>
        <v>18697.94</v>
      </c>
      <c r="I191" s="23">
        <f t="shared" si="40"/>
        <v>5412.26</v>
      </c>
      <c r="J191" s="23">
        <f t="shared" si="40"/>
        <v>16944.01</v>
      </c>
      <c r="K191" s="23">
        <f t="shared" si="40"/>
        <v>5247.23</v>
      </c>
      <c r="L191" s="7">
        <f>SUM(L189:L190)</f>
        <v>582244.45</v>
      </c>
      <c r="M191" s="7">
        <f aca="true" t="shared" si="41" ref="M191:R191">SUM(M189:M190)</f>
        <v>259793.56</v>
      </c>
      <c r="N191" s="7">
        <f t="shared" si="41"/>
        <v>230623.59</v>
      </c>
      <c r="O191" s="7">
        <f t="shared" si="41"/>
        <v>295000</v>
      </c>
      <c r="P191" s="7">
        <f t="shared" si="41"/>
        <v>295000</v>
      </c>
      <c r="Q191" s="7">
        <f t="shared" si="41"/>
        <v>295000</v>
      </c>
      <c r="R191" s="7">
        <f t="shared" si="41"/>
        <v>0</v>
      </c>
    </row>
    <row r="192" ht="12.75">
      <c r="I192" s="10"/>
    </row>
    <row r="193" spans="5:18" ht="12.75">
      <c r="E193" s="2" t="s">
        <v>2671</v>
      </c>
      <c r="F193" s="31">
        <f aca="true" t="shared" si="42" ref="F193:K193">SUM(F189:F191)/2</f>
        <v>85052</v>
      </c>
      <c r="G193" s="31">
        <f t="shared" si="42"/>
        <v>118529.37499999999</v>
      </c>
      <c r="H193" s="31">
        <f t="shared" si="42"/>
        <v>127945.13</v>
      </c>
      <c r="I193" s="28">
        <f t="shared" si="42"/>
        <v>115604.505</v>
      </c>
      <c r="J193" s="28">
        <f t="shared" si="42"/>
        <v>116339.33000000002</v>
      </c>
      <c r="K193" s="28">
        <f t="shared" si="42"/>
        <v>196203.18999999997</v>
      </c>
      <c r="L193" s="32">
        <f>SUM(L191)</f>
        <v>582244.45</v>
      </c>
      <c r="M193" s="32">
        <f aca="true" t="shared" si="43" ref="M193:R193">SUM(M191)</f>
        <v>259793.56</v>
      </c>
      <c r="N193" s="32">
        <f t="shared" si="43"/>
        <v>230623.59</v>
      </c>
      <c r="O193" s="32">
        <f t="shared" si="43"/>
        <v>295000</v>
      </c>
      <c r="P193" s="32">
        <f t="shared" si="43"/>
        <v>295000</v>
      </c>
      <c r="Q193" s="32">
        <f t="shared" si="43"/>
        <v>295000</v>
      </c>
      <c r="R193" s="32">
        <f t="shared" si="43"/>
        <v>0</v>
      </c>
    </row>
    <row r="194" spans="5:18" ht="12.75">
      <c r="E194" s="2"/>
      <c r="F194" s="31"/>
      <c r="G194" s="31"/>
      <c r="H194" s="31"/>
      <c r="I194" s="28"/>
      <c r="J194" s="28"/>
      <c r="K194" s="28"/>
      <c r="L194" s="32"/>
      <c r="M194" s="32"/>
      <c r="N194" s="32"/>
      <c r="O194" s="32"/>
      <c r="P194" s="32"/>
      <c r="Q194" s="32"/>
      <c r="R194" s="32"/>
    </row>
    <row r="195" spans="5:18" ht="12.75">
      <c r="E195" s="2"/>
      <c r="F195" s="31"/>
      <c r="G195" s="31"/>
      <c r="H195" s="31"/>
      <c r="I195" s="28"/>
      <c r="J195" s="28"/>
      <c r="K195" s="28"/>
      <c r="L195" s="32"/>
      <c r="M195" s="32"/>
      <c r="N195" s="32"/>
      <c r="O195" s="32"/>
      <c r="P195" s="32"/>
      <c r="Q195" s="32"/>
      <c r="R195" s="32"/>
    </row>
    <row r="196" spans="3:18" ht="12.75">
      <c r="C196" s="196">
        <v>11551</v>
      </c>
      <c r="D196" s="196"/>
      <c r="E196" s="163" t="s">
        <v>913</v>
      </c>
      <c r="F196" s="31"/>
      <c r="G196" s="31"/>
      <c r="H196" s="31"/>
      <c r="I196" s="28"/>
      <c r="J196" s="28"/>
      <c r="K196" s="28"/>
      <c r="L196" s="32"/>
      <c r="M196" s="32"/>
      <c r="N196" s="32"/>
      <c r="O196" s="32"/>
      <c r="P196" s="32"/>
      <c r="Q196" s="32"/>
      <c r="R196" s="32"/>
    </row>
    <row r="197" spans="2:18" ht="12.75">
      <c r="B197" s="36">
        <v>5180</v>
      </c>
      <c r="C197" s="36">
        <v>511000</v>
      </c>
      <c r="E197" s="34" t="s">
        <v>2363</v>
      </c>
      <c r="I197" s="10"/>
      <c r="J197" s="10"/>
      <c r="K197" s="10">
        <v>0</v>
      </c>
      <c r="L197" s="9">
        <v>101059.99</v>
      </c>
      <c r="M197" s="9">
        <v>87500.84</v>
      </c>
      <c r="N197" s="9">
        <v>128138.07</v>
      </c>
      <c r="O197" s="9">
        <v>210004</v>
      </c>
      <c r="P197" s="9">
        <v>180705</v>
      </c>
      <c r="Q197" s="9">
        <v>245916</v>
      </c>
      <c r="R197" s="9">
        <v>0</v>
      </c>
    </row>
    <row r="198" spans="2:18" ht="12.75">
      <c r="B198" s="36">
        <v>5181</v>
      </c>
      <c r="C198" s="36">
        <v>517000</v>
      </c>
      <c r="E198" s="34" t="s">
        <v>2222</v>
      </c>
      <c r="I198" s="10"/>
      <c r="J198" s="10"/>
      <c r="K198" s="10">
        <v>0</v>
      </c>
      <c r="L198" s="9">
        <v>11201</v>
      </c>
      <c r="M198" s="9">
        <v>15030.37</v>
      </c>
      <c r="N198" s="9">
        <v>17765</v>
      </c>
      <c r="O198" s="9">
        <v>29283</v>
      </c>
      <c r="P198" s="9">
        <v>29283</v>
      </c>
      <c r="Q198" s="9">
        <v>53545</v>
      </c>
      <c r="R198" s="9">
        <v>0</v>
      </c>
    </row>
    <row r="199" spans="2:18" ht="12.75">
      <c r="B199" s="40">
        <v>5180.7</v>
      </c>
      <c r="C199" s="36">
        <v>517200</v>
      </c>
      <c r="E199" s="34" t="s">
        <v>2291</v>
      </c>
      <c r="I199" s="10"/>
      <c r="J199" s="10"/>
      <c r="K199" s="10"/>
      <c r="M199" s="9">
        <v>532</v>
      </c>
      <c r="N199" s="9">
        <v>509</v>
      </c>
      <c r="O199" s="9">
        <v>483</v>
      </c>
      <c r="P199" s="9">
        <v>483</v>
      </c>
      <c r="Q199" s="9">
        <v>507</v>
      </c>
      <c r="R199" s="9">
        <v>0</v>
      </c>
    </row>
    <row r="200" spans="2:18" ht="12.75">
      <c r="B200" s="40">
        <v>5180.5</v>
      </c>
      <c r="C200" s="36">
        <v>517800</v>
      </c>
      <c r="E200" s="34" t="s">
        <v>2298</v>
      </c>
      <c r="I200" s="10"/>
      <c r="J200" s="10"/>
      <c r="K200" s="10"/>
      <c r="L200" s="9">
        <v>0</v>
      </c>
      <c r="M200" s="9">
        <v>1424</v>
      </c>
      <c r="N200" s="9">
        <v>1532</v>
      </c>
      <c r="O200" s="9">
        <v>1420</v>
      </c>
      <c r="P200" s="9">
        <v>1420</v>
      </c>
      <c r="Q200" s="9">
        <v>2199</v>
      </c>
      <c r="R200" s="9">
        <v>0</v>
      </c>
    </row>
    <row r="201" spans="2:19" s="47" customFormat="1" ht="15">
      <c r="B201" s="41"/>
      <c r="C201" s="41"/>
      <c r="D201" s="41"/>
      <c r="E201" s="42" t="s">
        <v>2187</v>
      </c>
      <c r="F201" s="43"/>
      <c r="G201" s="43"/>
      <c r="H201" s="43"/>
      <c r="I201" s="44"/>
      <c r="J201" s="10"/>
      <c r="K201" s="45">
        <v>0</v>
      </c>
      <c r="L201" s="46">
        <f aca="true" t="shared" si="44" ref="L201:R201">SUM(L197:L200)</f>
        <v>112260.99</v>
      </c>
      <c r="M201" s="46">
        <f t="shared" si="44"/>
        <v>104487.20999999999</v>
      </c>
      <c r="N201" s="46">
        <f t="shared" si="44"/>
        <v>147944.07</v>
      </c>
      <c r="O201" s="46">
        <f t="shared" si="44"/>
        <v>241190</v>
      </c>
      <c r="P201" s="46">
        <f t="shared" si="44"/>
        <v>211891</v>
      </c>
      <c r="Q201" s="46">
        <f t="shared" si="44"/>
        <v>302167</v>
      </c>
      <c r="R201" s="46">
        <f t="shared" si="44"/>
        <v>0</v>
      </c>
      <c r="S201" s="158"/>
    </row>
    <row r="202" spans="2:19" s="47" customFormat="1" ht="15">
      <c r="B202" s="41"/>
      <c r="C202" s="196">
        <v>11552</v>
      </c>
      <c r="D202" s="196"/>
      <c r="E202" s="42"/>
      <c r="F202" s="43"/>
      <c r="G202" s="43"/>
      <c r="H202" s="43"/>
      <c r="I202" s="44"/>
      <c r="J202" s="10"/>
      <c r="K202" s="45"/>
      <c r="L202" s="46"/>
      <c r="M202" s="46"/>
      <c r="N202" s="46"/>
      <c r="O202" s="46"/>
      <c r="P202" s="46"/>
      <c r="Q202" s="46"/>
      <c r="R202" s="46"/>
      <c r="S202" s="158"/>
    </row>
    <row r="203" spans="2:18" ht="12.75">
      <c r="B203" s="36">
        <v>5184</v>
      </c>
      <c r="C203" s="36">
        <v>524600</v>
      </c>
      <c r="E203" s="34" t="s">
        <v>1279</v>
      </c>
      <c r="I203" s="10"/>
      <c r="J203" s="10"/>
      <c r="K203" s="10"/>
      <c r="M203" s="9">
        <v>1969.9</v>
      </c>
      <c r="N203" s="9">
        <v>1990.88</v>
      </c>
      <c r="O203" s="9">
        <v>2000</v>
      </c>
      <c r="P203" s="9">
        <v>1990</v>
      </c>
      <c r="Q203" s="9">
        <v>2000</v>
      </c>
      <c r="R203" s="9">
        <v>0</v>
      </c>
    </row>
    <row r="204" spans="2:18" ht="12.75">
      <c r="B204" s="36">
        <v>5185</v>
      </c>
      <c r="C204" s="36">
        <v>530300</v>
      </c>
      <c r="E204" s="34" t="s">
        <v>1280</v>
      </c>
      <c r="I204" s="10"/>
      <c r="J204" s="10"/>
      <c r="K204" s="10"/>
      <c r="M204" s="9">
        <v>6649.61</v>
      </c>
      <c r="N204" s="9">
        <v>28551.91</v>
      </c>
      <c r="O204" s="9">
        <v>13560</v>
      </c>
      <c r="P204" s="9">
        <v>13410</v>
      </c>
      <c r="Q204" s="9">
        <v>25205</v>
      </c>
      <c r="R204" s="9">
        <v>0</v>
      </c>
    </row>
    <row r="205" spans="2:18" ht="12.75">
      <c r="B205" s="36">
        <v>5183</v>
      </c>
      <c r="C205" s="36">
        <v>530400</v>
      </c>
      <c r="E205" s="34" t="s">
        <v>914</v>
      </c>
      <c r="I205" s="10"/>
      <c r="J205" s="10"/>
      <c r="K205" s="10">
        <v>0</v>
      </c>
      <c r="L205" s="9">
        <v>29391.89</v>
      </c>
      <c r="M205" s="9">
        <v>30402.59</v>
      </c>
      <c r="N205" s="9">
        <v>14500</v>
      </c>
      <c r="O205" s="9">
        <v>14500</v>
      </c>
      <c r="P205" s="9">
        <v>19500</v>
      </c>
      <c r="Q205" s="9">
        <v>43058</v>
      </c>
      <c r="R205" s="9">
        <v>0</v>
      </c>
    </row>
    <row r="206" spans="2:18" ht="12.75">
      <c r="B206" s="36">
        <v>5190</v>
      </c>
      <c r="C206" s="36">
        <v>531700</v>
      </c>
      <c r="E206" s="34" t="s">
        <v>1285</v>
      </c>
      <c r="I206" s="10"/>
      <c r="J206" s="10"/>
      <c r="K206" s="10"/>
      <c r="L206" s="9">
        <v>191</v>
      </c>
      <c r="M206" s="9">
        <v>2000</v>
      </c>
      <c r="N206" s="9">
        <v>1917.8</v>
      </c>
      <c r="O206" s="9">
        <v>2000</v>
      </c>
      <c r="P206" s="9">
        <v>1965</v>
      </c>
      <c r="Q206" s="9">
        <v>5000</v>
      </c>
      <c r="R206" s="9">
        <v>0</v>
      </c>
    </row>
    <row r="207" spans="2:11" ht="12.75" hidden="1">
      <c r="B207" s="36">
        <v>5186</v>
      </c>
      <c r="E207" s="34" t="s">
        <v>1281</v>
      </c>
      <c r="I207" s="10"/>
      <c r="J207" s="10"/>
      <c r="K207" s="10"/>
    </row>
    <row r="208" spans="2:18" ht="12.75">
      <c r="B208" s="36">
        <v>5189</v>
      </c>
      <c r="C208" s="36">
        <v>542100</v>
      </c>
      <c r="E208" s="34" t="s">
        <v>1284</v>
      </c>
      <c r="I208" s="10"/>
      <c r="J208" s="10"/>
      <c r="K208" s="10"/>
      <c r="M208" s="9">
        <v>2006.4</v>
      </c>
      <c r="N208" s="9">
        <v>2040.47</v>
      </c>
      <c r="O208" s="9">
        <v>2190</v>
      </c>
      <c r="P208" s="9">
        <v>2110</v>
      </c>
      <c r="Q208" s="9">
        <v>2190</v>
      </c>
      <c r="R208" s="9">
        <v>0</v>
      </c>
    </row>
    <row r="209" spans="2:18" ht="12.75">
      <c r="B209" s="36">
        <v>5187</v>
      </c>
      <c r="C209" s="36">
        <v>542400</v>
      </c>
      <c r="E209" s="34" t="s">
        <v>1282</v>
      </c>
      <c r="I209" s="10"/>
      <c r="J209" s="10"/>
      <c r="K209" s="10"/>
      <c r="M209" s="9">
        <v>12498.01</v>
      </c>
      <c r="N209" s="9">
        <v>10610.46</v>
      </c>
      <c r="O209" s="9">
        <v>4875</v>
      </c>
      <c r="P209" s="9">
        <v>4760</v>
      </c>
      <c r="Q209" s="9">
        <v>15375</v>
      </c>
      <c r="R209" s="9">
        <v>0</v>
      </c>
    </row>
    <row r="210" spans="2:18" ht="12.75">
      <c r="B210" s="36">
        <v>5188</v>
      </c>
      <c r="C210" s="36">
        <v>542500</v>
      </c>
      <c r="E210" s="34" t="s">
        <v>1283</v>
      </c>
      <c r="I210" s="10"/>
      <c r="J210" s="10"/>
      <c r="K210" s="10"/>
      <c r="M210" s="9">
        <v>2745.99</v>
      </c>
      <c r="N210" s="9">
        <v>7492.42</v>
      </c>
      <c r="O210" s="9">
        <v>4000</v>
      </c>
      <c r="P210" s="9">
        <v>3870</v>
      </c>
      <c r="Q210" s="9">
        <v>5000</v>
      </c>
      <c r="R210" s="9">
        <v>0</v>
      </c>
    </row>
    <row r="211" spans="2:18" ht="12.75" hidden="1">
      <c r="B211" s="36">
        <v>5182</v>
      </c>
      <c r="E211" s="34" t="s">
        <v>1561</v>
      </c>
      <c r="I211" s="10"/>
      <c r="J211" s="10"/>
      <c r="K211" s="10">
        <v>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</row>
    <row r="212" spans="2:18" ht="12.75">
      <c r="B212" s="36">
        <v>5191</v>
      </c>
      <c r="C212" s="36">
        <v>558100</v>
      </c>
      <c r="E212" s="34" t="s">
        <v>1286</v>
      </c>
      <c r="I212" s="10"/>
      <c r="J212" s="10"/>
      <c r="K212" s="10"/>
      <c r="M212" s="9">
        <v>706.02</v>
      </c>
      <c r="N212" s="9">
        <v>724</v>
      </c>
      <c r="O212" s="9">
        <v>750</v>
      </c>
      <c r="P212" s="9">
        <v>725</v>
      </c>
      <c r="Q212" s="9">
        <v>750</v>
      </c>
      <c r="R212" s="9">
        <v>0</v>
      </c>
    </row>
    <row r="213" spans="2:18" ht="12.75">
      <c r="B213" s="36">
        <v>5182</v>
      </c>
      <c r="E213" s="34" t="s">
        <v>2476</v>
      </c>
      <c r="I213" s="10"/>
      <c r="J213" s="10"/>
      <c r="K213" s="10"/>
      <c r="L213" s="9">
        <v>3323.12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</row>
    <row r="214" spans="2:19" s="47" customFormat="1" ht="12.75">
      <c r="B214" s="41"/>
      <c r="C214" s="41"/>
      <c r="D214" s="41"/>
      <c r="E214" s="42" t="s">
        <v>915</v>
      </c>
      <c r="F214" s="43"/>
      <c r="G214" s="43"/>
      <c r="H214" s="43"/>
      <c r="I214" s="44"/>
      <c r="J214" s="44"/>
      <c r="K214" s="44">
        <v>0</v>
      </c>
      <c r="L214" s="7">
        <f>SUM(L203:L213)</f>
        <v>32906.01</v>
      </c>
      <c r="M214" s="7">
        <f aca="true" t="shared" si="45" ref="M214:R214">SUM(M203:M213)</f>
        <v>58978.52</v>
      </c>
      <c r="N214" s="7">
        <f t="shared" si="45"/>
        <v>67827.94</v>
      </c>
      <c r="O214" s="7">
        <f t="shared" si="45"/>
        <v>43875</v>
      </c>
      <c r="P214" s="7">
        <f t="shared" si="45"/>
        <v>48330</v>
      </c>
      <c r="Q214" s="7">
        <f t="shared" si="45"/>
        <v>98578</v>
      </c>
      <c r="R214" s="7">
        <f t="shared" si="45"/>
        <v>0</v>
      </c>
      <c r="S214" s="158"/>
    </row>
    <row r="215" spans="2:19" s="47" customFormat="1" ht="12.75">
      <c r="B215" s="41"/>
      <c r="C215" s="196">
        <v>11553</v>
      </c>
      <c r="D215" s="196"/>
      <c r="E215" s="42"/>
      <c r="F215" s="43"/>
      <c r="G215" s="43"/>
      <c r="H215" s="43"/>
      <c r="I215" s="44"/>
      <c r="J215" s="44"/>
      <c r="K215" s="44"/>
      <c r="L215" s="7"/>
      <c r="M215" s="7"/>
      <c r="N215" s="7"/>
      <c r="O215" s="7"/>
      <c r="P215" s="7"/>
      <c r="Q215" s="7"/>
      <c r="R215" s="7"/>
      <c r="S215" s="158"/>
    </row>
    <row r="216" spans="2:18" ht="12.75">
      <c r="B216" s="36">
        <v>5192</v>
      </c>
      <c r="C216" s="36">
        <v>585200</v>
      </c>
      <c r="E216" s="34" t="s">
        <v>3180</v>
      </c>
      <c r="I216" s="10"/>
      <c r="J216" s="10"/>
      <c r="K216" s="10"/>
      <c r="N216" s="9">
        <v>62979.26</v>
      </c>
      <c r="O216" s="9">
        <v>63000</v>
      </c>
      <c r="P216" s="9">
        <v>62992</v>
      </c>
      <c r="Q216" s="9">
        <v>63000</v>
      </c>
      <c r="R216" s="9">
        <v>0</v>
      </c>
    </row>
    <row r="217" spans="2:18" ht="12.75">
      <c r="B217" s="36">
        <v>5193</v>
      </c>
      <c r="C217" s="36">
        <v>587100</v>
      </c>
      <c r="E217" s="34" t="s">
        <v>3179</v>
      </c>
      <c r="I217" s="10"/>
      <c r="J217" s="10"/>
      <c r="K217" s="10"/>
      <c r="N217" s="9">
        <v>61773.5</v>
      </c>
      <c r="O217" s="9">
        <v>62000</v>
      </c>
      <c r="P217" s="9">
        <v>61955</v>
      </c>
      <c r="Q217" s="9">
        <v>50000</v>
      </c>
      <c r="R217" s="9">
        <v>0</v>
      </c>
    </row>
    <row r="218" spans="2:19" s="47" customFormat="1" ht="12.75">
      <c r="B218" s="41"/>
      <c r="C218" s="41"/>
      <c r="D218" s="41"/>
      <c r="E218" s="42" t="s">
        <v>3178</v>
      </c>
      <c r="F218" s="43"/>
      <c r="G218" s="43"/>
      <c r="H218" s="43"/>
      <c r="I218" s="44"/>
      <c r="J218" s="44"/>
      <c r="K218" s="44"/>
      <c r="L218" s="7"/>
      <c r="M218" s="7"/>
      <c r="N218" s="7">
        <f>SUM(N216:N217)</f>
        <v>124752.76000000001</v>
      </c>
      <c r="O218" s="7">
        <f>SUM(O216:O217)</f>
        <v>125000</v>
      </c>
      <c r="P218" s="7">
        <f>SUM(P216:P217)</f>
        <v>124947</v>
      </c>
      <c r="Q218" s="7">
        <f>SUM(Q216:Q217)</f>
        <v>113000</v>
      </c>
      <c r="R218" s="7">
        <f>SUM(R216:R217)</f>
        <v>0</v>
      </c>
      <c r="S218" s="158"/>
    </row>
    <row r="219" spans="2:11" ht="12.75">
      <c r="B219" s="36"/>
      <c r="E219" s="34"/>
      <c r="I219" s="10"/>
      <c r="J219" s="10"/>
      <c r="K219" s="10"/>
    </row>
    <row r="220" spans="2:18" ht="12.75">
      <c r="B220" s="36"/>
      <c r="E220" s="2" t="s">
        <v>916</v>
      </c>
      <c r="F220" s="19">
        <v>0</v>
      </c>
      <c r="G220" s="19">
        <v>0</v>
      </c>
      <c r="H220" s="19">
        <v>0</v>
      </c>
      <c r="I220" s="10">
        <v>0</v>
      </c>
      <c r="J220" s="10">
        <v>0</v>
      </c>
      <c r="K220" s="10">
        <v>0</v>
      </c>
      <c r="L220" s="32">
        <f aca="true" t="shared" si="46" ref="L220:R220">SUM(L201+L218+L214)</f>
        <v>145167</v>
      </c>
      <c r="M220" s="32">
        <f t="shared" si="46"/>
        <v>163465.72999999998</v>
      </c>
      <c r="N220" s="32">
        <f t="shared" si="46"/>
        <v>340524.77</v>
      </c>
      <c r="O220" s="32">
        <f t="shared" si="46"/>
        <v>410065</v>
      </c>
      <c r="P220" s="32">
        <f t="shared" si="46"/>
        <v>385168</v>
      </c>
      <c r="Q220" s="32">
        <f t="shared" si="46"/>
        <v>513745</v>
      </c>
      <c r="R220" s="32">
        <f t="shared" si="46"/>
        <v>0</v>
      </c>
    </row>
    <row r="221" spans="2:18" ht="12.75">
      <c r="B221" s="36"/>
      <c r="E221" s="2"/>
      <c r="I221" s="10"/>
      <c r="J221" s="10"/>
      <c r="K221" s="10"/>
      <c r="L221" s="32"/>
      <c r="M221" s="32"/>
      <c r="N221" s="32"/>
      <c r="O221" s="32"/>
      <c r="P221" s="32"/>
      <c r="Q221" s="32"/>
      <c r="R221" s="32"/>
    </row>
    <row r="222" spans="2:11" ht="12.75">
      <c r="B222" s="36"/>
      <c r="E222" s="34" t="s">
        <v>1948</v>
      </c>
      <c r="I222" s="10"/>
      <c r="J222" s="10"/>
      <c r="K222" s="10"/>
    </row>
    <row r="223" spans="2:10" ht="12.75">
      <c r="B223" s="36"/>
      <c r="E223" s="48"/>
      <c r="F223" s="31"/>
      <c r="G223" s="31"/>
      <c r="H223" s="31"/>
      <c r="I223" s="28"/>
      <c r="J223" s="28"/>
    </row>
    <row r="224" spans="2:5" ht="12.75">
      <c r="B224" s="36"/>
      <c r="E224" s="163" t="s">
        <v>2632</v>
      </c>
    </row>
    <row r="225" spans="2:5" ht="12.75">
      <c r="B225" s="36"/>
      <c r="C225" s="196">
        <v>11521</v>
      </c>
      <c r="D225" s="196"/>
      <c r="E225" s="34"/>
    </row>
    <row r="226" spans="2:18" ht="12.75">
      <c r="B226" s="36" t="s">
        <v>2633</v>
      </c>
      <c r="C226" s="36">
        <v>511000</v>
      </c>
      <c r="E226" s="34" t="s">
        <v>2363</v>
      </c>
      <c r="F226" s="19">
        <v>0</v>
      </c>
      <c r="G226" s="19">
        <v>131260.58</v>
      </c>
      <c r="H226" s="19">
        <v>134084.41</v>
      </c>
      <c r="I226" s="8">
        <v>128323.64</v>
      </c>
      <c r="J226" s="8">
        <v>111482.97</v>
      </c>
      <c r="K226" s="8">
        <v>104955.37</v>
      </c>
      <c r="L226" s="9">
        <v>109296.58</v>
      </c>
      <c r="M226" s="9">
        <v>117732.89</v>
      </c>
      <c r="N226" s="9">
        <v>128453.58</v>
      </c>
      <c r="O226" s="9">
        <v>137849</v>
      </c>
      <c r="P226" s="9">
        <v>137038</v>
      </c>
      <c r="Q226" s="9">
        <v>141494</v>
      </c>
      <c r="R226" s="9">
        <v>0</v>
      </c>
    </row>
    <row r="227" spans="2:18" ht="12.75">
      <c r="B227" s="36" t="s">
        <v>2634</v>
      </c>
      <c r="C227" s="36">
        <v>511100</v>
      </c>
      <c r="E227" s="34" t="s">
        <v>2370</v>
      </c>
      <c r="F227" s="19">
        <v>0</v>
      </c>
      <c r="G227" s="19">
        <v>0</v>
      </c>
      <c r="H227" s="19">
        <v>17862</v>
      </c>
      <c r="I227" s="8">
        <v>38641.92</v>
      </c>
      <c r="J227" s="8">
        <v>45069.31</v>
      </c>
      <c r="K227" s="8">
        <v>17044.07</v>
      </c>
      <c r="L227" s="9">
        <v>18189.38</v>
      </c>
      <c r="M227" s="9">
        <v>21597.1</v>
      </c>
      <c r="N227" s="9">
        <v>16781.28</v>
      </c>
      <c r="O227" s="9">
        <v>27387</v>
      </c>
      <c r="P227" s="9">
        <v>22301</v>
      </c>
      <c r="Q227" s="9">
        <v>25671</v>
      </c>
      <c r="R227" s="9">
        <v>0</v>
      </c>
    </row>
    <row r="228" spans="2:18" ht="12.75" hidden="1">
      <c r="B228" s="36" t="s">
        <v>2635</v>
      </c>
      <c r="E228" s="34" t="s">
        <v>2636</v>
      </c>
      <c r="F228" s="19">
        <v>0</v>
      </c>
      <c r="G228" s="19">
        <v>0</v>
      </c>
      <c r="H228" s="19">
        <v>0</v>
      </c>
      <c r="I228" s="8">
        <v>0</v>
      </c>
      <c r="J228" s="8">
        <v>0</v>
      </c>
      <c r="K228" s="8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</row>
    <row r="229" spans="2:18" ht="12.75" hidden="1">
      <c r="B229" s="36" t="s">
        <v>2637</v>
      </c>
      <c r="E229" s="34" t="s">
        <v>2288</v>
      </c>
      <c r="F229" s="19">
        <v>0</v>
      </c>
      <c r="G229" s="19">
        <v>550</v>
      </c>
      <c r="H229" s="19">
        <v>550</v>
      </c>
      <c r="I229" s="8">
        <v>325</v>
      </c>
      <c r="J229" s="8">
        <v>325</v>
      </c>
      <c r="K229" s="8">
        <v>270.8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</row>
    <row r="230" spans="2:18" ht="12.75" hidden="1">
      <c r="B230" s="36" t="s">
        <v>2638</v>
      </c>
      <c r="E230" s="34" t="s">
        <v>2683</v>
      </c>
      <c r="F230" s="19">
        <v>0</v>
      </c>
      <c r="G230" s="19">
        <v>0</v>
      </c>
      <c r="H230" s="19">
        <v>0</v>
      </c>
      <c r="I230" s="8">
        <v>0</v>
      </c>
      <c r="J230" s="8">
        <v>0</v>
      </c>
      <c r="K230" s="8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</row>
    <row r="231" spans="2:18" ht="12.75" hidden="1">
      <c r="B231" s="36" t="s">
        <v>2639</v>
      </c>
      <c r="E231" s="34" t="s">
        <v>2219</v>
      </c>
      <c r="F231" s="19">
        <v>0</v>
      </c>
      <c r="G231" s="19">
        <v>0</v>
      </c>
      <c r="H231" s="19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2:18" ht="12.75">
      <c r="B232" s="36" t="s">
        <v>2640</v>
      </c>
      <c r="C232" s="36">
        <v>517000</v>
      </c>
      <c r="E232" s="34" t="s">
        <v>2222</v>
      </c>
      <c r="F232" s="19">
        <v>0</v>
      </c>
      <c r="G232" s="19">
        <v>17010</v>
      </c>
      <c r="H232" s="19">
        <f>12430+6215</f>
        <v>18645</v>
      </c>
      <c r="I232" s="8">
        <v>13779</v>
      </c>
      <c r="J232" s="8">
        <v>25630</v>
      </c>
      <c r="K232" s="8">
        <v>48315</v>
      </c>
      <c r="L232" s="8">
        <v>22402</v>
      </c>
      <c r="M232" s="8">
        <v>21979.18</v>
      </c>
      <c r="N232" s="8">
        <v>25979</v>
      </c>
      <c r="O232" s="8">
        <v>29283</v>
      </c>
      <c r="P232" s="8">
        <v>29283</v>
      </c>
      <c r="Q232" s="8">
        <v>37036</v>
      </c>
      <c r="R232" s="8">
        <v>0</v>
      </c>
    </row>
    <row r="233" spans="2:18" ht="12.75">
      <c r="B233" s="36">
        <v>5228</v>
      </c>
      <c r="C233" s="36">
        <v>517200</v>
      </c>
      <c r="E233" s="34" t="s">
        <v>2683</v>
      </c>
      <c r="J233" s="8"/>
      <c r="L233" s="8"/>
      <c r="M233" s="8">
        <v>607</v>
      </c>
      <c r="N233" s="8">
        <v>580</v>
      </c>
      <c r="O233" s="8">
        <v>552</v>
      </c>
      <c r="P233" s="8">
        <v>552</v>
      </c>
      <c r="Q233" s="8">
        <v>580</v>
      </c>
      <c r="R233" s="8">
        <v>0</v>
      </c>
    </row>
    <row r="234" spans="2:18" ht="12.75">
      <c r="B234" s="36" t="s">
        <v>2641</v>
      </c>
      <c r="C234" s="36">
        <v>517800</v>
      </c>
      <c r="E234" s="34" t="s">
        <v>2298</v>
      </c>
      <c r="F234" s="19">
        <v>0</v>
      </c>
      <c r="G234" s="19">
        <v>703</v>
      </c>
      <c r="H234" s="19">
        <v>861</v>
      </c>
      <c r="I234" s="8">
        <v>880</v>
      </c>
      <c r="J234" s="8">
        <v>1430</v>
      </c>
      <c r="K234" s="8">
        <v>1540</v>
      </c>
      <c r="L234" s="8">
        <v>1540</v>
      </c>
      <c r="M234" s="8">
        <v>1469</v>
      </c>
      <c r="N234" s="8">
        <v>1469</v>
      </c>
      <c r="O234" s="8">
        <v>1706</v>
      </c>
      <c r="P234" s="8">
        <v>1706</v>
      </c>
      <c r="Q234" s="8">
        <v>2223</v>
      </c>
      <c r="R234" s="8">
        <v>0</v>
      </c>
    </row>
    <row r="235" spans="2:18" ht="12.75" hidden="1">
      <c r="B235" s="36" t="s">
        <v>2642</v>
      </c>
      <c r="E235" s="34" t="s">
        <v>2643</v>
      </c>
      <c r="F235" s="19">
        <v>0</v>
      </c>
      <c r="G235" s="19">
        <v>0</v>
      </c>
      <c r="H235" s="19">
        <v>0</v>
      </c>
      <c r="I235" s="8">
        <v>0</v>
      </c>
      <c r="J235" s="8">
        <v>0</v>
      </c>
      <c r="K235" s="8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</row>
    <row r="236" spans="2:18" ht="12.75">
      <c r="B236" s="39"/>
      <c r="C236" s="39"/>
      <c r="D236" s="39"/>
      <c r="E236" s="42" t="s">
        <v>2187</v>
      </c>
      <c r="F236" s="25">
        <f aca="true" t="shared" si="47" ref="F236:L236">SUM(F226:F235)</f>
        <v>0</v>
      </c>
      <c r="G236" s="25">
        <f t="shared" si="47"/>
        <v>149523.58</v>
      </c>
      <c r="H236" s="25">
        <f t="shared" si="47"/>
        <v>172002.41</v>
      </c>
      <c r="I236" s="22">
        <f t="shared" si="47"/>
        <v>181949.56</v>
      </c>
      <c r="J236" s="22">
        <f t="shared" si="47"/>
        <v>183937.28</v>
      </c>
      <c r="K236" s="22">
        <f t="shared" si="47"/>
        <v>172125.24</v>
      </c>
      <c r="L236" s="7">
        <f t="shared" si="47"/>
        <v>151427.96000000002</v>
      </c>
      <c r="M236" s="7">
        <f aca="true" t="shared" si="48" ref="M236:R236">SUM(M226:M235)</f>
        <v>163385.16999999998</v>
      </c>
      <c r="N236" s="7">
        <f t="shared" si="48"/>
        <v>173262.86</v>
      </c>
      <c r="O236" s="7">
        <f t="shared" si="48"/>
        <v>196777</v>
      </c>
      <c r="P236" s="7">
        <f t="shared" si="48"/>
        <v>190880</v>
      </c>
      <c r="Q236" s="7">
        <f t="shared" si="48"/>
        <v>207004</v>
      </c>
      <c r="R236" s="7">
        <f t="shared" si="48"/>
        <v>0</v>
      </c>
    </row>
    <row r="237" spans="2:5" ht="12.75">
      <c r="B237" s="36"/>
      <c r="C237" s="196">
        <v>11522</v>
      </c>
      <c r="D237" s="196"/>
      <c r="E237" s="34"/>
    </row>
    <row r="238" spans="2:18" ht="12.75">
      <c r="B238" s="49" t="s">
        <v>2656</v>
      </c>
      <c r="C238" s="49">
        <v>524500</v>
      </c>
      <c r="D238" s="49"/>
      <c r="E238" s="3" t="s">
        <v>2657</v>
      </c>
      <c r="F238" s="19">
        <v>0</v>
      </c>
      <c r="H238" s="19">
        <v>0</v>
      </c>
      <c r="I238" s="8">
        <v>0</v>
      </c>
      <c r="J238" s="8">
        <v>333.86</v>
      </c>
      <c r="K238" s="8">
        <v>231.28</v>
      </c>
      <c r="L238" s="9">
        <v>0</v>
      </c>
      <c r="M238" s="9">
        <v>1437.94</v>
      </c>
      <c r="N238" s="9">
        <v>956.05</v>
      </c>
      <c r="O238" s="9">
        <v>850</v>
      </c>
      <c r="P238" s="9">
        <v>850</v>
      </c>
      <c r="Q238" s="9">
        <v>850</v>
      </c>
      <c r="R238" s="9">
        <v>0</v>
      </c>
    </row>
    <row r="239" spans="2:14" ht="12.75" hidden="1">
      <c r="B239" s="36" t="s">
        <v>2646</v>
      </c>
      <c r="E239" s="34" t="s">
        <v>2647</v>
      </c>
      <c r="F239" s="19">
        <v>0</v>
      </c>
      <c r="G239" s="19">
        <v>0</v>
      </c>
      <c r="H239" s="19">
        <v>35720</v>
      </c>
      <c r="I239" s="8">
        <v>4577.6</v>
      </c>
      <c r="J239" s="8">
        <v>0</v>
      </c>
      <c r="K239" s="8">
        <v>0</v>
      </c>
      <c r="L239" s="9">
        <v>0</v>
      </c>
      <c r="M239" s="9">
        <v>0</v>
      </c>
      <c r="N239" s="9">
        <v>0</v>
      </c>
    </row>
    <row r="240" spans="2:18" ht="12.75">
      <c r="B240" s="49" t="s">
        <v>2654</v>
      </c>
      <c r="C240" s="49">
        <v>530000</v>
      </c>
      <c r="D240" s="49"/>
      <c r="E240" s="3" t="s">
        <v>1949</v>
      </c>
      <c r="F240" s="19">
        <v>0</v>
      </c>
      <c r="H240" s="19">
        <v>0</v>
      </c>
      <c r="I240" s="8">
        <v>10850</v>
      </c>
      <c r="J240" s="8">
        <v>5795.56</v>
      </c>
      <c r="K240" s="8">
        <v>2475</v>
      </c>
      <c r="L240" s="9">
        <v>4285.29</v>
      </c>
      <c r="M240" s="9">
        <v>1723.5</v>
      </c>
      <c r="N240" s="9">
        <v>2465</v>
      </c>
      <c r="O240" s="9">
        <v>2225</v>
      </c>
      <c r="P240" s="9">
        <v>2225</v>
      </c>
      <c r="Q240" s="9">
        <v>2375</v>
      </c>
      <c r="R240" s="9">
        <v>0</v>
      </c>
    </row>
    <row r="241" spans="2:17" ht="12.75">
      <c r="B241" s="40">
        <v>5470.1</v>
      </c>
      <c r="C241" s="36">
        <v>530000</v>
      </c>
      <c r="E241" s="3" t="s">
        <v>1945</v>
      </c>
      <c r="K241" s="10"/>
      <c r="M241" s="9">
        <v>8000</v>
      </c>
      <c r="N241" s="9">
        <v>8166.66</v>
      </c>
      <c r="O241" s="9">
        <v>18000</v>
      </c>
      <c r="P241" s="9">
        <v>18000</v>
      </c>
      <c r="Q241" s="213">
        <v>23500</v>
      </c>
    </row>
    <row r="242" spans="2:18" ht="12.75">
      <c r="B242" s="49" t="s">
        <v>2655</v>
      </c>
      <c r="C242" s="49">
        <v>530600</v>
      </c>
      <c r="D242" s="49"/>
      <c r="E242" s="3" t="s">
        <v>2476</v>
      </c>
      <c r="F242" s="19">
        <v>0</v>
      </c>
      <c r="H242" s="19">
        <v>0</v>
      </c>
      <c r="I242" s="8">
        <v>5393.33</v>
      </c>
      <c r="J242" s="8">
        <v>3120</v>
      </c>
      <c r="K242" s="8">
        <v>5318.09</v>
      </c>
      <c r="L242" s="9">
        <v>0</v>
      </c>
      <c r="M242" s="9">
        <v>499.99</v>
      </c>
      <c r="N242" s="9">
        <v>0</v>
      </c>
      <c r="O242" s="9">
        <v>300</v>
      </c>
      <c r="P242" s="9">
        <v>200</v>
      </c>
      <c r="Q242" s="9">
        <v>300</v>
      </c>
      <c r="R242" s="9">
        <v>0</v>
      </c>
    </row>
    <row r="243" spans="2:18" ht="12.75">
      <c r="B243" s="36" t="s">
        <v>2648</v>
      </c>
      <c r="C243" s="36">
        <v>531400</v>
      </c>
      <c r="E243" s="34" t="s">
        <v>2649</v>
      </c>
      <c r="F243" s="19">
        <v>0</v>
      </c>
      <c r="G243" s="19">
        <v>5293.75</v>
      </c>
      <c r="H243" s="19">
        <v>3150</v>
      </c>
      <c r="I243" s="8">
        <v>3150</v>
      </c>
      <c r="J243" s="8">
        <v>3150</v>
      </c>
      <c r="K243" s="8">
        <v>3150</v>
      </c>
      <c r="L243" s="9">
        <v>2100</v>
      </c>
      <c r="M243" s="9">
        <v>3150</v>
      </c>
      <c r="N243" s="9">
        <v>3150</v>
      </c>
      <c r="O243" s="9">
        <v>3500</v>
      </c>
      <c r="P243" s="9">
        <v>3500</v>
      </c>
      <c r="Q243" s="9">
        <v>3500</v>
      </c>
      <c r="R243" s="9">
        <v>0</v>
      </c>
    </row>
    <row r="244" spans="2:17" ht="12.75">
      <c r="B244" s="36">
        <v>5469</v>
      </c>
      <c r="C244" s="36">
        <v>531500</v>
      </c>
      <c r="E244" s="3" t="s">
        <v>2921</v>
      </c>
      <c r="F244" s="19">
        <v>1930</v>
      </c>
      <c r="G244" s="19">
        <v>1700</v>
      </c>
      <c r="H244" s="19">
        <v>1040</v>
      </c>
      <c r="I244" s="8">
        <v>2270</v>
      </c>
      <c r="J244" s="9">
        <v>1620</v>
      </c>
      <c r="K244" s="10">
        <v>1890</v>
      </c>
      <c r="L244" s="9">
        <v>2515</v>
      </c>
      <c r="M244" s="9">
        <v>2000</v>
      </c>
      <c r="N244" s="9">
        <v>2480</v>
      </c>
      <c r="O244" s="9">
        <v>2600</v>
      </c>
      <c r="P244" s="9">
        <v>2600</v>
      </c>
      <c r="Q244" s="9">
        <v>2600</v>
      </c>
    </row>
    <row r="245" spans="2:18" ht="12.75">
      <c r="B245" s="36" t="s">
        <v>2644</v>
      </c>
      <c r="C245" s="36">
        <v>531700</v>
      </c>
      <c r="E245" s="34" t="s">
        <v>2645</v>
      </c>
      <c r="F245" s="19">
        <v>0</v>
      </c>
      <c r="G245" s="19">
        <v>23000</v>
      </c>
      <c r="H245" s="19">
        <v>41585</v>
      </c>
      <c r="I245" s="8">
        <v>5850</v>
      </c>
      <c r="J245" s="8">
        <v>5300</v>
      </c>
      <c r="K245" s="8">
        <v>4066</v>
      </c>
      <c r="L245" s="9">
        <v>6000</v>
      </c>
      <c r="M245" s="9">
        <v>3249</v>
      </c>
      <c r="N245" s="9">
        <v>3000</v>
      </c>
      <c r="O245" s="9">
        <v>5000</v>
      </c>
      <c r="P245" s="9">
        <v>3000</v>
      </c>
      <c r="Q245" s="9">
        <v>5000</v>
      </c>
      <c r="R245" s="9">
        <v>0</v>
      </c>
    </row>
    <row r="246" spans="2:18" ht="12.75">
      <c r="B246" s="36" t="s">
        <v>2650</v>
      </c>
      <c r="C246" s="36">
        <v>531900</v>
      </c>
      <c r="E246" s="34" t="s">
        <v>2467</v>
      </c>
      <c r="F246" s="19">
        <v>0</v>
      </c>
      <c r="G246" s="19">
        <v>8245.06</v>
      </c>
      <c r="H246" s="19">
        <v>16498.73</v>
      </c>
      <c r="I246" s="8">
        <v>12297.25</v>
      </c>
      <c r="J246" s="8">
        <v>7341.77</v>
      </c>
      <c r="K246" s="8">
        <v>10640.3</v>
      </c>
      <c r="L246" s="9">
        <v>8181.04</v>
      </c>
      <c r="M246" s="9">
        <v>15284.31</v>
      </c>
      <c r="N246" s="9">
        <v>8190.75</v>
      </c>
      <c r="O246" s="9">
        <v>5500</v>
      </c>
      <c r="P246" s="9">
        <v>8500</v>
      </c>
      <c r="Q246" s="9">
        <v>8500</v>
      </c>
      <c r="R246" s="9">
        <v>0</v>
      </c>
    </row>
    <row r="247" spans="2:18" ht="12.75">
      <c r="B247" s="36" t="s">
        <v>2651</v>
      </c>
      <c r="C247" s="36">
        <v>534600</v>
      </c>
      <c r="E247" s="3" t="s">
        <v>2473</v>
      </c>
      <c r="F247" s="19">
        <v>0</v>
      </c>
      <c r="G247" s="19">
        <v>0</v>
      </c>
      <c r="H247" s="19">
        <v>408.94</v>
      </c>
      <c r="I247" s="8">
        <v>2227.09</v>
      </c>
      <c r="J247" s="8">
        <v>794.3</v>
      </c>
      <c r="K247" s="8">
        <v>528.69</v>
      </c>
      <c r="L247" s="9">
        <v>1559.32</v>
      </c>
      <c r="M247" s="9">
        <v>898.93</v>
      </c>
      <c r="N247" s="9">
        <v>361.29</v>
      </c>
      <c r="O247" s="9">
        <v>1500</v>
      </c>
      <c r="P247" s="9">
        <v>800</v>
      </c>
      <c r="Q247" s="9">
        <v>1500</v>
      </c>
      <c r="R247" s="9">
        <v>0</v>
      </c>
    </row>
    <row r="248" spans="2:18" ht="12.75">
      <c r="B248" s="36" t="s">
        <v>2658</v>
      </c>
      <c r="C248" s="36">
        <v>542100</v>
      </c>
      <c r="E248" s="3" t="s">
        <v>2335</v>
      </c>
      <c r="F248" s="19">
        <v>0</v>
      </c>
      <c r="G248" s="19">
        <v>406.89</v>
      </c>
      <c r="H248" s="19">
        <v>485.71</v>
      </c>
      <c r="I248" s="8">
        <v>833.47</v>
      </c>
      <c r="J248" s="8">
        <v>1634.22</v>
      </c>
      <c r="K248" s="8">
        <v>1244.06</v>
      </c>
      <c r="L248" s="9">
        <v>1548.8</v>
      </c>
      <c r="M248" s="9">
        <v>1032.16</v>
      </c>
      <c r="N248" s="9">
        <v>1386.98</v>
      </c>
      <c r="O248" s="9">
        <v>1550</v>
      </c>
      <c r="P248" s="9">
        <v>1400</v>
      </c>
      <c r="Q248" s="9">
        <v>1550</v>
      </c>
      <c r="R248" s="9">
        <v>0</v>
      </c>
    </row>
    <row r="249" spans="2:18" ht="12.75">
      <c r="B249" s="36" t="s">
        <v>2659</v>
      </c>
      <c r="C249" s="36">
        <v>552900</v>
      </c>
      <c r="E249" s="3" t="s">
        <v>2617</v>
      </c>
      <c r="F249" s="19">
        <v>0</v>
      </c>
      <c r="G249" s="19">
        <v>64.5</v>
      </c>
      <c r="H249" s="19">
        <v>0</v>
      </c>
      <c r="I249" s="8">
        <v>0</v>
      </c>
      <c r="J249" s="8">
        <v>195</v>
      </c>
      <c r="K249" s="8">
        <v>52.5</v>
      </c>
      <c r="L249" s="9">
        <v>0</v>
      </c>
      <c r="M249" s="9">
        <v>314.85</v>
      </c>
      <c r="N249" s="9">
        <v>0</v>
      </c>
      <c r="O249" s="9">
        <v>205</v>
      </c>
      <c r="P249" s="9">
        <v>205</v>
      </c>
      <c r="Q249" s="9">
        <v>205</v>
      </c>
      <c r="R249" s="9">
        <v>0</v>
      </c>
    </row>
    <row r="250" spans="2:18" ht="12.75">
      <c r="B250" s="36" t="s">
        <v>2660</v>
      </c>
      <c r="C250" s="36">
        <v>571000</v>
      </c>
      <c r="E250" s="3" t="s">
        <v>2389</v>
      </c>
      <c r="F250" s="19">
        <v>0</v>
      </c>
      <c r="G250" s="19">
        <v>963.41</v>
      </c>
      <c r="H250" s="19">
        <v>1657.69</v>
      </c>
      <c r="I250" s="8">
        <v>0</v>
      </c>
      <c r="J250" s="8">
        <v>350.88</v>
      </c>
      <c r="K250" s="8">
        <v>0</v>
      </c>
      <c r="L250" s="9">
        <v>508.5</v>
      </c>
      <c r="M250" s="9">
        <v>480.51</v>
      </c>
      <c r="N250" s="9">
        <v>996.8</v>
      </c>
      <c r="O250" s="9">
        <v>1000</v>
      </c>
      <c r="P250" s="9">
        <v>1000</v>
      </c>
      <c r="Q250" s="9">
        <v>1000</v>
      </c>
      <c r="R250" s="9">
        <v>0</v>
      </c>
    </row>
    <row r="251" spans="2:18" ht="12.75">
      <c r="B251" s="36" t="s">
        <v>2661</v>
      </c>
      <c r="C251" s="36">
        <v>573000</v>
      </c>
      <c r="E251" s="3" t="s">
        <v>2433</v>
      </c>
      <c r="F251" s="19">
        <v>0</v>
      </c>
      <c r="G251" s="19">
        <v>0</v>
      </c>
      <c r="H251" s="19">
        <v>200</v>
      </c>
      <c r="I251" s="8">
        <v>689.78</v>
      </c>
      <c r="J251" s="8">
        <v>550</v>
      </c>
      <c r="K251" s="8">
        <v>400</v>
      </c>
      <c r="L251" s="9">
        <v>455</v>
      </c>
      <c r="M251" s="9">
        <v>600</v>
      </c>
      <c r="N251" s="9">
        <v>170</v>
      </c>
      <c r="O251" s="9">
        <v>650</v>
      </c>
      <c r="P251" s="9">
        <v>650</v>
      </c>
      <c r="Q251" s="9">
        <v>650</v>
      </c>
      <c r="R251" s="9">
        <v>0</v>
      </c>
    </row>
    <row r="252" spans="2:14" ht="12.75">
      <c r="B252" s="49" t="s">
        <v>2652</v>
      </c>
      <c r="C252" s="49">
        <v>573300</v>
      </c>
      <c r="D252" s="49"/>
      <c r="E252" s="3" t="s">
        <v>2653</v>
      </c>
      <c r="F252" s="19">
        <v>0</v>
      </c>
      <c r="G252" s="19">
        <v>0</v>
      </c>
      <c r="H252" s="19">
        <v>713.8</v>
      </c>
      <c r="I252" s="8">
        <v>50</v>
      </c>
      <c r="J252" s="8">
        <v>0</v>
      </c>
      <c r="K252" s="8">
        <v>0</v>
      </c>
      <c r="L252" s="9">
        <v>0</v>
      </c>
      <c r="M252" s="9">
        <v>0</v>
      </c>
      <c r="N252" s="9">
        <v>400</v>
      </c>
    </row>
    <row r="253" spans="2:18" ht="12.75">
      <c r="B253" s="39"/>
      <c r="C253" s="39"/>
      <c r="D253" s="39"/>
      <c r="E253" s="20" t="s">
        <v>2274</v>
      </c>
      <c r="F253" s="25">
        <f aca="true" t="shared" si="49" ref="F253:K253">SUM(F251:F252)</f>
        <v>0</v>
      </c>
      <c r="G253" s="25">
        <f t="shared" si="49"/>
        <v>0</v>
      </c>
      <c r="H253" s="25">
        <f t="shared" si="49"/>
        <v>913.8</v>
      </c>
      <c r="I253" s="22">
        <f t="shared" si="49"/>
        <v>739.78</v>
      </c>
      <c r="J253" s="22">
        <f t="shared" si="49"/>
        <v>550</v>
      </c>
      <c r="K253" s="22">
        <f t="shared" si="49"/>
        <v>400</v>
      </c>
      <c r="L253" s="7">
        <f>SUM(L238:L252)</f>
        <v>27152.95</v>
      </c>
      <c r="M253" s="7">
        <f aca="true" t="shared" si="50" ref="M253:R253">SUM(M238:M252)</f>
        <v>38671.19</v>
      </c>
      <c r="N253" s="7">
        <f t="shared" si="50"/>
        <v>31723.53</v>
      </c>
      <c r="O253" s="7">
        <f t="shared" si="50"/>
        <v>42880</v>
      </c>
      <c r="P253" s="7">
        <f t="shared" si="50"/>
        <v>42930</v>
      </c>
      <c r="Q253" s="7">
        <f t="shared" si="50"/>
        <v>51530</v>
      </c>
      <c r="R253" s="7">
        <f t="shared" si="50"/>
        <v>0</v>
      </c>
    </row>
    <row r="254" spans="2:10" ht="12.75">
      <c r="B254" s="36"/>
      <c r="C254" s="196">
        <v>11523</v>
      </c>
      <c r="J254" s="8"/>
    </row>
    <row r="255" spans="2:18" ht="12.75">
      <c r="B255" s="36" t="s">
        <v>2662</v>
      </c>
      <c r="E255" s="3" t="s">
        <v>2276</v>
      </c>
      <c r="F255" s="19">
        <v>0</v>
      </c>
      <c r="G255" s="19">
        <v>0</v>
      </c>
      <c r="H255" s="19">
        <v>1960.21</v>
      </c>
      <c r="I255" s="8">
        <v>0</v>
      </c>
      <c r="J255" s="8">
        <v>0</v>
      </c>
      <c r="K255" s="8">
        <v>0</v>
      </c>
      <c r="L255" s="9">
        <v>1169.3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</row>
    <row r="256" spans="2:18" ht="12.75">
      <c r="B256" s="39"/>
      <c r="C256" s="39"/>
      <c r="D256" s="39"/>
      <c r="E256" s="20" t="s">
        <v>2277</v>
      </c>
      <c r="F256" s="25">
        <f aca="true" t="shared" si="51" ref="F256:L256">SUM(F255)</f>
        <v>0</v>
      </c>
      <c r="G256" s="25">
        <f t="shared" si="51"/>
        <v>0</v>
      </c>
      <c r="H256" s="25">
        <f t="shared" si="51"/>
        <v>1960.21</v>
      </c>
      <c r="I256" s="22">
        <f t="shared" si="51"/>
        <v>0</v>
      </c>
      <c r="J256" s="22">
        <f t="shared" si="51"/>
        <v>0</v>
      </c>
      <c r="K256" s="22">
        <f t="shared" si="51"/>
        <v>0</v>
      </c>
      <c r="L256" s="7">
        <f t="shared" si="51"/>
        <v>1169.3</v>
      </c>
      <c r="M256" s="7">
        <f aca="true" t="shared" si="52" ref="M256:R256">SUM(M255)</f>
        <v>0</v>
      </c>
      <c r="N256" s="7">
        <f t="shared" si="52"/>
        <v>0</v>
      </c>
      <c r="O256" s="7">
        <f t="shared" si="52"/>
        <v>0</v>
      </c>
      <c r="P256" s="7">
        <f t="shared" si="52"/>
        <v>0</v>
      </c>
      <c r="Q256" s="7">
        <f t="shared" si="52"/>
        <v>0</v>
      </c>
      <c r="R256" s="7">
        <f t="shared" si="52"/>
        <v>0</v>
      </c>
    </row>
    <row r="257" spans="2:10" ht="12.75">
      <c r="B257" s="36"/>
      <c r="J257" s="10"/>
    </row>
    <row r="258" spans="2:19" s="38" customFormat="1" ht="12.75">
      <c r="B258" s="39"/>
      <c r="C258" s="39"/>
      <c r="D258" s="39"/>
      <c r="E258" s="38" t="s">
        <v>2663</v>
      </c>
      <c r="F258" s="31">
        <f aca="true" t="shared" si="53" ref="F258:K258">SUM(F226:F256)/2</f>
        <v>965</v>
      </c>
      <c r="G258" s="31">
        <f t="shared" si="53"/>
        <v>169360.38499999998</v>
      </c>
      <c r="H258" s="31">
        <f t="shared" si="53"/>
        <v>225149.45500000002</v>
      </c>
      <c r="I258" s="28">
        <f t="shared" si="53"/>
        <v>206413.71000000002</v>
      </c>
      <c r="J258" s="28">
        <f t="shared" si="53"/>
        <v>199305.07499999998</v>
      </c>
      <c r="K258" s="28">
        <f t="shared" si="53"/>
        <v>187323.2</v>
      </c>
      <c r="L258" s="32">
        <f>SUM(L236+L253+L256)</f>
        <v>179750.21000000002</v>
      </c>
      <c r="M258" s="32">
        <f aca="true" t="shared" si="54" ref="M258:R258">SUM(M236+M253+M256)</f>
        <v>202056.36</v>
      </c>
      <c r="N258" s="32">
        <f t="shared" si="54"/>
        <v>204986.38999999998</v>
      </c>
      <c r="O258" s="32">
        <f t="shared" si="54"/>
        <v>239657</v>
      </c>
      <c r="P258" s="32">
        <f t="shared" si="54"/>
        <v>233810</v>
      </c>
      <c r="Q258" s="32">
        <f t="shared" si="54"/>
        <v>258534</v>
      </c>
      <c r="R258" s="32">
        <f t="shared" si="54"/>
        <v>0</v>
      </c>
      <c r="S258" s="57"/>
    </row>
    <row r="259" ht="12.75" hidden="1">
      <c r="B259" s="36"/>
    </row>
    <row r="260" spans="2:5" ht="12.75" hidden="1">
      <c r="B260" s="36" t="s">
        <v>2180</v>
      </c>
      <c r="E260" s="3" t="s">
        <v>2180</v>
      </c>
    </row>
    <row r="261" ht="12.75">
      <c r="A261" s="3" t="s">
        <v>2180</v>
      </c>
    </row>
    <row r="262" spans="1:5" ht="12.75">
      <c r="A262" s="3" t="s">
        <v>2180</v>
      </c>
      <c r="E262" s="163" t="s">
        <v>2672</v>
      </c>
    </row>
    <row r="263" spans="3:4" ht="12.75">
      <c r="C263" s="196">
        <v>11351</v>
      </c>
      <c r="D263" s="196"/>
    </row>
    <row r="264" spans="1:18" ht="12.75">
      <c r="A264" s="3" t="s">
        <v>2673</v>
      </c>
      <c r="B264" s="11" t="s">
        <v>2674</v>
      </c>
      <c r="C264" s="36">
        <v>511000</v>
      </c>
      <c r="E264" s="3" t="s">
        <v>2363</v>
      </c>
      <c r="F264" s="19">
        <v>118334</v>
      </c>
      <c r="G264" s="19">
        <v>98235.41</v>
      </c>
      <c r="H264" s="19">
        <v>114879.31</v>
      </c>
      <c r="I264" s="8">
        <v>128144.75</v>
      </c>
      <c r="J264" s="9">
        <v>91279.19</v>
      </c>
      <c r="K264" s="10">
        <v>107992.99</v>
      </c>
      <c r="L264" s="9">
        <v>106536.86</v>
      </c>
      <c r="M264" s="9">
        <v>112203.46</v>
      </c>
      <c r="N264" s="9">
        <v>141504.12</v>
      </c>
      <c r="O264" s="9">
        <v>149862</v>
      </c>
      <c r="P264" s="9">
        <v>155423</v>
      </c>
      <c r="Q264" s="9">
        <v>157716</v>
      </c>
      <c r="R264" s="9">
        <v>0</v>
      </c>
    </row>
    <row r="265" spans="1:18" ht="12.75">
      <c r="A265" s="3" t="s">
        <v>2675</v>
      </c>
      <c r="B265" s="11" t="s">
        <v>2676</v>
      </c>
      <c r="C265" s="36">
        <v>511100</v>
      </c>
      <c r="E265" s="3" t="s">
        <v>2370</v>
      </c>
      <c r="F265" s="19">
        <v>9890</v>
      </c>
      <c r="G265" s="19">
        <v>20884.29</v>
      </c>
      <c r="H265" s="19">
        <v>23136.54</v>
      </c>
      <c r="I265" s="8">
        <v>6093.31</v>
      </c>
      <c r="J265" s="9">
        <v>12147</v>
      </c>
      <c r="K265" s="10">
        <v>15658.78</v>
      </c>
      <c r="L265" s="9">
        <v>23995.76</v>
      </c>
      <c r="M265" s="10">
        <v>21786.15</v>
      </c>
      <c r="N265" s="10">
        <v>28781.18</v>
      </c>
      <c r="O265" s="10">
        <v>33500</v>
      </c>
      <c r="P265" s="10">
        <v>32674</v>
      </c>
      <c r="Q265" s="10">
        <v>34393</v>
      </c>
      <c r="R265" s="10">
        <v>0</v>
      </c>
    </row>
    <row r="266" spans="1:18" ht="12.75">
      <c r="A266" s="3" t="s">
        <v>2686</v>
      </c>
      <c r="B266" s="11" t="s">
        <v>2687</v>
      </c>
      <c r="C266" s="36">
        <v>517000</v>
      </c>
      <c r="E266" s="3" t="s">
        <v>2222</v>
      </c>
      <c r="F266" s="19">
        <v>12576</v>
      </c>
      <c r="G266" s="19">
        <v>12802</v>
      </c>
      <c r="H266" s="19">
        <v>14474</v>
      </c>
      <c r="I266" s="8">
        <v>17757</v>
      </c>
      <c r="J266" s="9">
        <v>22582</v>
      </c>
      <c r="K266" s="10">
        <v>19326</v>
      </c>
      <c r="L266" s="9">
        <v>8236</v>
      </c>
      <c r="M266" s="9">
        <v>19070.7</v>
      </c>
      <c r="N266" s="9">
        <v>22540</v>
      </c>
      <c r="O266" s="9">
        <v>20046</v>
      </c>
      <c r="P266" s="9">
        <v>20046</v>
      </c>
      <c r="Q266" s="9">
        <v>37036</v>
      </c>
      <c r="R266" s="9">
        <v>0</v>
      </c>
    </row>
    <row r="267" spans="1:18" ht="12.75" hidden="1">
      <c r="A267" s="3" t="s">
        <v>2677</v>
      </c>
      <c r="B267" s="11" t="s">
        <v>2678</v>
      </c>
      <c r="E267" s="3" t="s">
        <v>2288</v>
      </c>
      <c r="F267" s="19">
        <v>948</v>
      </c>
      <c r="G267" s="19">
        <v>275</v>
      </c>
      <c r="H267" s="19">
        <v>183.36</v>
      </c>
      <c r="I267" s="8">
        <v>0</v>
      </c>
      <c r="J267" s="9">
        <v>0</v>
      </c>
      <c r="K267" s="10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</row>
    <row r="268" spans="1:18" ht="12.75">
      <c r="A268" s="3" t="s">
        <v>2679</v>
      </c>
      <c r="B268" s="11" t="s">
        <v>2680</v>
      </c>
      <c r="C268" s="36">
        <v>517200</v>
      </c>
      <c r="E268" s="3" t="s">
        <v>2683</v>
      </c>
      <c r="F268" s="19">
        <v>302</v>
      </c>
      <c r="G268" s="19">
        <v>227</v>
      </c>
      <c r="H268" s="19">
        <v>227</v>
      </c>
      <c r="I268" s="8">
        <v>227</v>
      </c>
      <c r="J268" s="9">
        <v>227</v>
      </c>
      <c r="K268" s="10">
        <v>227</v>
      </c>
      <c r="L268" s="9">
        <v>227</v>
      </c>
      <c r="M268" s="9">
        <v>646</v>
      </c>
      <c r="N268" s="9">
        <v>618</v>
      </c>
      <c r="O268" s="9">
        <v>587</v>
      </c>
      <c r="P268" s="9">
        <v>587</v>
      </c>
      <c r="Q268" s="9">
        <v>616</v>
      </c>
      <c r="R268" s="9">
        <v>0</v>
      </c>
    </row>
    <row r="269" spans="1:18" ht="12.75" hidden="1">
      <c r="A269" s="3" t="s">
        <v>2684</v>
      </c>
      <c r="B269" s="11" t="s">
        <v>2685</v>
      </c>
      <c r="E269" s="3" t="s">
        <v>2219</v>
      </c>
      <c r="F269" s="19">
        <v>72</v>
      </c>
      <c r="G269" s="19">
        <v>72</v>
      </c>
      <c r="H269" s="19">
        <v>72</v>
      </c>
      <c r="I269" s="8">
        <v>0</v>
      </c>
      <c r="J269" s="9">
        <v>0</v>
      </c>
      <c r="K269" s="10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</row>
    <row r="270" spans="1:18" ht="12.75">
      <c r="A270" s="3" t="s">
        <v>2688</v>
      </c>
      <c r="B270" s="11" t="s">
        <v>2689</v>
      </c>
      <c r="C270" s="36">
        <v>517800</v>
      </c>
      <c r="E270" s="3" t="s">
        <v>2298</v>
      </c>
      <c r="F270" s="19">
        <v>1183</v>
      </c>
      <c r="G270" s="19">
        <v>1109</v>
      </c>
      <c r="H270" s="19">
        <v>1639</v>
      </c>
      <c r="I270" s="8">
        <v>1580</v>
      </c>
      <c r="J270" s="9">
        <v>1650</v>
      </c>
      <c r="K270" s="10">
        <v>1370</v>
      </c>
      <c r="L270" s="9">
        <v>1370</v>
      </c>
      <c r="M270" s="9">
        <v>1497</v>
      </c>
      <c r="N270" s="9">
        <v>1602</v>
      </c>
      <c r="O270" s="9">
        <v>2000</v>
      </c>
      <c r="P270" s="9">
        <v>2000</v>
      </c>
      <c r="Q270" s="9">
        <v>2564</v>
      </c>
      <c r="R270" s="9">
        <v>0</v>
      </c>
    </row>
    <row r="271" spans="2:18" ht="12.75">
      <c r="B271" s="11">
        <v>5267.1</v>
      </c>
      <c r="C271" s="36" t="s">
        <v>2180</v>
      </c>
      <c r="E271" s="3" t="s">
        <v>2007</v>
      </c>
      <c r="K271" s="10"/>
      <c r="M271" s="10">
        <v>7500</v>
      </c>
      <c r="N271" s="10">
        <v>0</v>
      </c>
      <c r="O271" s="10"/>
      <c r="P271" s="10"/>
      <c r="Q271" s="10"/>
      <c r="R271" s="10"/>
    </row>
    <row r="272" spans="5:18" ht="14.25" customHeight="1">
      <c r="E272" s="20" t="s">
        <v>2187</v>
      </c>
      <c r="F272" s="21">
        <f aca="true" t="shared" si="55" ref="F272:L272">SUM(F264:F271)</f>
        <v>143305</v>
      </c>
      <c r="G272" s="21">
        <f t="shared" si="55"/>
        <v>133604.7</v>
      </c>
      <c r="H272" s="21">
        <f t="shared" si="55"/>
        <v>154611.21</v>
      </c>
      <c r="I272" s="22">
        <f t="shared" si="55"/>
        <v>153802.06</v>
      </c>
      <c r="J272" s="22">
        <f t="shared" si="55"/>
        <v>127885.19</v>
      </c>
      <c r="K272" s="22">
        <f t="shared" si="55"/>
        <v>144574.77000000002</v>
      </c>
      <c r="L272" s="7">
        <f t="shared" si="55"/>
        <v>140365.62</v>
      </c>
      <c r="M272" s="7">
        <f aca="true" t="shared" si="56" ref="M272:R272">SUM(M264:M271)</f>
        <v>162703.31000000003</v>
      </c>
      <c r="N272" s="7">
        <f t="shared" si="56"/>
        <v>195045.3</v>
      </c>
      <c r="O272" s="7">
        <f t="shared" si="56"/>
        <v>205995</v>
      </c>
      <c r="P272" s="7">
        <f t="shared" si="56"/>
        <v>210730</v>
      </c>
      <c r="Q272" s="7">
        <f t="shared" si="56"/>
        <v>232325</v>
      </c>
      <c r="R272" s="7">
        <f t="shared" si="56"/>
        <v>0</v>
      </c>
    </row>
    <row r="273" spans="3:4" ht="13.5" customHeight="1">
      <c r="C273" s="196">
        <v>11352</v>
      </c>
      <c r="D273" s="196"/>
    </row>
    <row r="274" spans="1:18" ht="12.75">
      <c r="A274" s="3" t="s">
        <v>2703</v>
      </c>
      <c r="B274" s="11" t="s">
        <v>2704</v>
      </c>
      <c r="C274" s="36">
        <v>524600</v>
      </c>
      <c r="E274" s="3" t="s">
        <v>2476</v>
      </c>
      <c r="F274" s="19">
        <v>4000</v>
      </c>
      <c r="G274" s="19">
        <v>4427.35</v>
      </c>
      <c r="H274" s="19">
        <v>3761.33</v>
      </c>
      <c r="I274" s="8">
        <v>13202.99</v>
      </c>
      <c r="J274" s="9">
        <v>4734.9</v>
      </c>
      <c r="K274" s="10">
        <v>4420.85</v>
      </c>
      <c r="L274" s="9">
        <v>4147.79</v>
      </c>
      <c r="M274" s="9">
        <v>4934.79</v>
      </c>
      <c r="N274" s="9">
        <v>5614.93</v>
      </c>
      <c r="O274" s="9">
        <v>7000</v>
      </c>
      <c r="P274" s="9">
        <v>7000</v>
      </c>
      <c r="Q274" s="9">
        <v>8200</v>
      </c>
      <c r="R274" s="9">
        <v>7000</v>
      </c>
    </row>
    <row r="275" spans="1:18" ht="12.75">
      <c r="A275" s="3" t="s">
        <v>2693</v>
      </c>
      <c r="B275" s="11" t="s">
        <v>2694</v>
      </c>
      <c r="C275" s="36">
        <v>527200</v>
      </c>
      <c r="E275" s="3" t="s">
        <v>1879</v>
      </c>
      <c r="F275" s="19">
        <v>456</v>
      </c>
      <c r="G275" s="19">
        <v>474</v>
      </c>
      <c r="H275" s="19">
        <v>500</v>
      </c>
      <c r="I275" s="8">
        <v>528</v>
      </c>
      <c r="J275" s="9">
        <v>552</v>
      </c>
      <c r="K275" s="10">
        <v>31.06</v>
      </c>
      <c r="L275" s="9">
        <v>129</v>
      </c>
      <c r="M275" s="9">
        <v>387</v>
      </c>
      <c r="N275" s="9">
        <v>451.5</v>
      </c>
      <c r="O275" s="9">
        <v>600</v>
      </c>
      <c r="P275" s="9">
        <v>600</v>
      </c>
      <c r="Q275" s="9">
        <v>600</v>
      </c>
      <c r="R275" s="9">
        <v>600</v>
      </c>
    </row>
    <row r="276" spans="2:18" ht="12.75">
      <c r="B276" s="50" t="s">
        <v>2700</v>
      </c>
      <c r="C276" s="49">
        <v>530000</v>
      </c>
      <c r="D276" s="49"/>
      <c r="E276" s="3" t="s">
        <v>2379</v>
      </c>
      <c r="F276" s="19">
        <v>4739</v>
      </c>
      <c r="G276" s="19">
        <v>3423.7</v>
      </c>
      <c r="H276" s="19">
        <v>2287.6</v>
      </c>
      <c r="I276" s="8">
        <v>680</v>
      </c>
      <c r="J276" s="9">
        <v>16277</v>
      </c>
      <c r="K276" s="10">
        <v>17905.48</v>
      </c>
      <c r="L276" s="9">
        <v>26411.61</v>
      </c>
      <c r="M276" s="9">
        <v>10578.34</v>
      </c>
      <c r="N276" s="9">
        <v>13135.33</v>
      </c>
      <c r="O276" s="9">
        <v>11500</v>
      </c>
      <c r="P276" s="9">
        <v>10500</v>
      </c>
      <c r="Q276" s="9">
        <v>14000</v>
      </c>
      <c r="R276" s="9">
        <v>0</v>
      </c>
    </row>
    <row r="277" spans="1:18" ht="12.75">
      <c r="A277" s="3" t="s">
        <v>2701</v>
      </c>
      <c r="B277" s="11" t="s">
        <v>2702</v>
      </c>
      <c r="C277" s="36">
        <v>530000</v>
      </c>
      <c r="E277" s="3" t="s">
        <v>2193</v>
      </c>
      <c r="F277" s="19">
        <v>512</v>
      </c>
      <c r="G277" s="19">
        <v>901.58</v>
      </c>
      <c r="H277" s="19">
        <v>621</v>
      </c>
      <c r="I277" s="8">
        <v>475.42</v>
      </c>
      <c r="J277" s="9">
        <v>0</v>
      </c>
      <c r="K277" s="10">
        <v>0</v>
      </c>
      <c r="L277" s="9">
        <v>0</v>
      </c>
      <c r="M277" s="9">
        <v>449.36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</row>
    <row r="278" spans="1:18" ht="12.75">
      <c r="A278" s="3" t="s">
        <v>2695</v>
      </c>
      <c r="B278" s="11" t="s">
        <v>2696</v>
      </c>
      <c r="C278" s="36">
        <v>530120</v>
      </c>
      <c r="E278" s="3" t="s">
        <v>2697</v>
      </c>
      <c r="F278" s="19">
        <v>29000</v>
      </c>
      <c r="G278" s="19">
        <v>31500</v>
      </c>
      <c r="H278" s="19">
        <v>31000</v>
      </c>
      <c r="I278" s="8">
        <v>33000</v>
      </c>
      <c r="J278" s="9">
        <v>37500</v>
      </c>
      <c r="K278" s="10">
        <v>37059.05</v>
      </c>
      <c r="L278" s="9">
        <v>54360</v>
      </c>
      <c r="M278" s="9">
        <v>48300</v>
      </c>
      <c r="N278" s="9">
        <v>48800</v>
      </c>
      <c r="O278" s="9">
        <v>45000</v>
      </c>
      <c r="P278" s="9">
        <v>46000</v>
      </c>
      <c r="Q278" s="9">
        <v>46000</v>
      </c>
      <c r="R278" s="9">
        <v>46000</v>
      </c>
    </row>
    <row r="279" spans="1:18" ht="12.75">
      <c r="A279" s="3" t="s">
        <v>2705</v>
      </c>
      <c r="B279" s="11" t="s">
        <v>2706</v>
      </c>
      <c r="C279" s="36">
        <v>542100</v>
      </c>
      <c r="E279" s="3" t="s">
        <v>2335</v>
      </c>
      <c r="F279" s="19">
        <v>794</v>
      </c>
      <c r="G279" s="19">
        <v>1433.53</v>
      </c>
      <c r="H279" s="19">
        <v>1165.22</v>
      </c>
      <c r="I279" s="8">
        <v>1493.9</v>
      </c>
      <c r="J279" s="8">
        <v>1807.82</v>
      </c>
      <c r="K279" s="10">
        <v>1169.39</v>
      </c>
      <c r="L279" s="9">
        <v>1702.28</v>
      </c>
      <c r="M279" s="9">
        <v>1339.39</v>
      </c>
      <c r="N279" s="9">
        <v>2237.86</v>
      </c>
      <c r="O279" s="9">
        <v>2800</v>
      </c>
      <c r="P279" s="9">
        <v>2800</v>
      </c>
      <c r="Q279" s="9">
        <v>2900</v>
      </c>
      <c r="R279" s="9">
        <v>0</v>
      </c>
    </row>
    <row r="280" spans="1:18" ht="12.75">
      <c r="A280" s="3" t="s">
        <v>2707</v>
      </c>
      <c r="B280" s="11" t="s">
        <v>2708</v>
      </c>
      <c r="C280" s="36">
        <v>542100</v>
      </c>
      <c r="E280" s="3" t="s">
        <v>2709</v>
      </c>
      <c r="F280" s="19">
        <v>1024</v>
      </c>
      <c r="G280" s="19">
        <v>1316.6</v>
      </c>
      <c r="H280" s="19">
        <v>1260.8</v>
      </c>
      <c r="I280" s="8">
        <v>1114</v>
      </c>
      <c r="J280" s="8">
        <v>579.8</v>
      </c>
      <c r="K280" s="10">
        <v>1323.24</v>
      </c>
      <c r="L280" s="9">
        <v>625.12</v>
      </c>
      <c r="M280" s="9">
        <v>472.88</v>
      </c>
      <c r="N280" s="9">
        <f>600-600</f>
        <v>0</v>
      </c>
      <c r="O280" s="9">
        <v>0</v>
      </c>
      <c r="P280" s="9">
        <v>0</v>
      </c>
      <c r="Q280" s="9">
        <v>0</v>
      </c>
      <c r="R280" s="9">
        <v>0</v>
      </c>
    </row>
    <row r="281" spans="1:18" ht="12.75">
      <c r="A281" s="3" t="s">
        <v>2710</v>
      </c>
      <c r="B281" s="11" t="s">
        <v>2711</v>
      </c>
      <c r="C281" s="36">
        <v>542100</v>
      </c>
      <c r="E281" s="3" t="s">
        <v>2344</v>
      </c>
      <c r="F281" s="19">
        <v>456</v>
      </c>
      <c r="G281" s="19">
        <v>470.63</v>
      </c>
      <c r="H281" s="19">
        <v>939.94</v>
      </c>
      <c r="I281" s="8">
        <v>885.22</v>
      </c>
      <c r="J281" s="8">
        <v>627.47</v>
      </c>
      <c r="K281" s="10">
        <v>512.9</v>
      </c>
      <c r="L281" s="9">
        <v>0</v>
      </c>
      <c r="M281" s="9">
        <v>714.12</v>
      </c>
      <c r="N281" s="9">
        <v>475.32</v>
      </c>
      <c r="O281" s="9">
        <v>0</v>
      </c>
      <c r="P281" s="9">
        <v>0</v>
      </c>
      <c r="Q281" s="9">
        <v>0</v>
      </c>
      <c r="R281" s="9">
        <v>0</v>
      </c>
    </row>
    <row r="282" spans="1:18" ht="12.75">
      <c r="A282" s="3" t="s">
        <v>2712</v>
      </c>
      <c r="B282" s="11" t="s">
        <v>2713</v>
      </c>
      <c r="C282" s="36">
        <v>552900</v>
      </c>
      <c r="E282" s="3" t="s">
        <v>2264</v>
      </c>
      <c r="F282" s="19">
        <v>198</v>
      </c>
      <c r="H282" s="19">
        <v>38</v>
      </c>
      <c r="I282" s="8">
        <v>79</v>
      </c>
      <c r="J282" s="8">
        <v>79</v>
      </c>
      <c r="K282" s="10">
        <v>0</v>
      </c>
      <c r="L282" s="9">
        <v>0</v>
      </c>
      <c r="M282" s="9">
        <v>359</v>
      </c>
      <c r="N282" s="9">
        <v>145.71</v>
      </c>
      <c r="O282" s="9">
        <v>150</v>
      </c>
      <c r="P282" s="9">
        <v>150</v>
      </c>
      <c r="Q282" s="9">
        <v>150</v>
      </c>
      <c r="R282" s="9">
        <v>0</v>
      </c>
    </row>
    <row r="283" spans="1:18" ht="12.75">
      <c r="A283" s="3" t="s">
        <v>2714</v>
      </c>
      <c r="B283" s="11" t="s">
        <v>2715</v>
      </c>
      <c r="C283" s="36">
        <v>558900</v>
      </c>
      <c r="E283" s="3" t="s">
        <v>2716</v>
      </c>
      <c r="F283" s="19">
        <v>215</v>
      </c>
      <c r="G283" s="19">
        <v>445.53</v>
      </c>
      <c r="H283" s="19">
        <v>1292</v>
      </c>
      <c r="I283" s="10">
        <v>740</v>
      </c>
      <c r="J283" s="9">
        <v>3101.92</v>
      </c>
      <c r="K283" s="10">
        <v>1781.77</v>
      </c>
      <c r="L283" s="9">
        <v>2420.35</v>
      </c>
      <c r="M283" s="9">
        <v>2547.24</v>
      </c>
      <c r="N283" s="9">
        <v>1198.83</v>
      </c>
      <c r="O283" s="9">
        <v>3000</v>
      </c>
      <c r="P283" s="9">
        <v>3000</v>
      </c>
      <c r="Q283" s="9">
        <v>3000</v>
      </c>
      <c r="R283" s="9">
        <v>3000</v>
      </c>
    </row>
    <row r="284" spans="1:18" ht="12.75">
      <c r="A284" s="3" t="s">
        <v>2717</v>
      </c>
      <c r="B284" s="11" t="s">
        <v>2718</v>
      </c>
      <c r="C284" s="36">
        <v>571000</v>
      </c>
      <c r="E284" s="3" t="s">
        <v>2389</v>
      </c>
      <c r="F284" s="19">
        <v>617</v>
      </c>
      <c r="G284" s="19">
        <v>1012.62</v>
      </c>
      <c r="H284" s="19">
        <v>462.33</v>
      </c>
      <c r="I284" s="8">
        <v>1053.51</v>
      </c>
      <c r="J284" s="9">
        <v>440</v>
      </c>
      <c r="K284" s="10">
        <v>2179.32</v>
      </c>
      <c r="L284" s="9">
        <f>395.27+1004.33</f>
        <v>1399.6</v>
      </c>
      <c r="M284" s="9">
        <v>2720.79</v>
      </c>
      <c r="N284" s="9">
        <v>2017.93</v>
      </c>
      <c r="O284" s="9">
        <v>2200</v>
      </c>
      <c r="P284" s="9">
        <v>2200</v>
      </c>
      <c r="Q284" s="9">
        <v>2300</v>
      </c>
      <c r="R284" s="9">
        <v>0</v>
      </c>
    </row>
    <row r="285" spans="2:18" ht="12.75">
      <c r="B285" s="40">
        <v>5282.1</v>
      </c>
      <c r="C285" s="36">
        <v>571100</v>
      </c>
      <c r="E285" s="3" t="s">
        <v>2110</v>
      </c>
      <c r="K285" s="10"/>
      <c r="L285" s="9">
        <v>8595.06</v>
      </c>
      <c r="M285" s="9">
        <v>9453.35</v>
      </c>
      <c r="N285" s="9">
        <v>7745.01</v>
      </c>
      <c r="O285" s="9">
        <v>12500</v>
      </c>
      <c r="P285" s="9">
        <v>10500</v>
      </c>
      <c r="Q285" s="9">
        <v>10500</v>
      </c>
      <c r="R285" s="9">
        <v>0</v>
      </c>
    </row>
    <row r="286" spans="1:18" ht="12.75">
      <c r="A286" s="3" t="s">
        <v>2719</v>
      </c>
      <c r="B286" s="11" t="s">
        <v>2720</v>
      </c>
      <c r="C286" s="36">
        <v>573000</v>
      </c>
      <c r="E286" s="3" t="s">
        <v>2395</v>
      </c>
      <c r="F286" s="19">
        <v>280</v>
      </c>
      <c r="G286" s="19">
        <v>280</v>
      </c>
      <c r="H286" s="19">
        <v>320</v>
      </c>
      <c r="I286" s="8">
        <v>320</v>
      </c>
      <c r="J286" s="9">
        <v>335</v>
      </c>
      <c r="K286" s="10">
        <v>160</v>
      </c>
      <c r="L286" s="9">
        <v>290</v>
      </c>
      <c r="M286" s="9">
        <v>810</v>
      </c>
      <c r="N286" s="9">
        <v>495</v>
      </c>
      <c r="O286" s="9">
        <v>830</v>
      </c>
      <c r="P286" s="9">
        <v>830</v>
      </c>
      <c r="Q286" s="9">
        <v>860</v>
      </c>
      <c r="R286" s="9">
        <v>0</v>
      </c>
    </row>
    <row r="287" spans="1:14" ht="12.75" hidden="1">
      <c r="A287" s="3" t="s">
        <v>2690</v>
      </c>
      <c r="B287" s="11" t="s">
        <v>2691</v>
      </c>
      <c r="E287" s="3" t="s">
        <v>2692</v>
      </c>
      <c r="F287" s="19">
        <v>0</v>
      </c>
      <c r="G287" s="19">
        <v>0</v>
      </c>
      <c r="H287" s="19">
        <v>0</v>
      </c>
      <c r="I287" s="8">
        <v>150</v>
      </c>
      <c r="J287" s="9">
        <v>0</v>
      </c>
      <c r="K287" s="10">
        <v>0</v>
      </c>
      <c r="L287" s="9">
        <v>0</v>
      </c>
      <c r="M287" s="9">
        <v>0</v>
      </c>
      <c r="N287" s="9">
        <v>0</v>
      </c>
    </row>
    <row r="288" spans="1:18" ht="12.75">
      <c r="A288" s="3" t="s">
        <v>2698</v>
      </c>
      <c r="B288" s="11" t="s">
        <v>2699</v>
      </c>
      <c r="E288" s="3" t="s">
        <v>2470</v>
      </c>
      <c r="F288" s="19">
        <v>0</v>
      </c>
      <c r="G288" s="19">
        <v>247.75</v>
      </c>
      <c r="H288" s="19">
        <v>443.95</v>
      </c>
      <c r="I288" s="8">
        <v>249.49</v>
      </c>
      <c r="J288" s="9">
        <v>421.86</v>
      </c>
      <c r="K288" s="10">
        <v>445.24</v>
      </c>
      <c r="L288" s="9">
        <v>293.63</v>
      </c>
      <c r="M288" s="9">
        <v>169.55</v>
      </c>
      <c r="N288" s="9">
        <v>40.73</v>
      </c>
      <c r="O288" s="9">
        <v>0</v>
      </c>
      <c r="P288" s="9">
        <v>0</v>
      </c>
      <c r="Q288" s="9">
        <v>0</v>
      </c>
      <c r="R288" s="9">
        <v>0</v>
      </c>
    </row>
    <row r="289" spans="5:18" ht="12.75">
      <c r="E289" s="20" t="s">
        <v>2274</v>
      </c>
      <c r="F289" s="21">
        <f aca="true" t="shared" si="57" ref="F289:K289">SUM(F285:F288)</f>
        <v>280</v>
      </c>
      <c r="G289" s="21">
        <f t="shared" si="57"/>
        <v>527.75</v>
      </c>
      <c r="H289" s="21">
        <f t="shared" si="57"/>
        <v>763.95</v>
      </c>
      <c r="I289" s="22">
        <f t="shared" si="57"/>
        <v>719.49</v>
      </c>
      <c r="J289" s="22">
        <f t="shared" si="57"/>
        <v>756.86</v>
      </c>
      <c r="K289" s="22">
        <f t="shared" si="57"/>
        <v>605.24</v>
      </c>
      <c r="L289" s="7">
        <f aca="true" t="shared" si="58" ref="L289:R289">SUM(L274:L288)</f>
        <v>100374.44</v>
      </c>
      <c r="M289" s="7">
        <f t="shared" si="58"/>
        <v>83235.81000000001</v>
      </c>
      <c r="N289" s="7">
        <f t="shared" si="58"/>
        <v>82358.15000000001</v>
      </c>
      <c r="O289" s="7">
        <f t="shared" si="58"/>
        <v>85580</v>
      </c>
      <c r="P289" s="7">
        <f t="shared" si="58"/>
        <v>83580</v>
      </c>
      <c r="Q289" s="7">
        <f t="shared" si="58"/>
        <v>88510</v>
      </c>
      <c r="R289" s="7">
        <f t="shared" si="58"/>
        <v>56600</v>
      </c>
    </row>
    <row r="290" spans="3:4" ht="12.75" customHeight="1">
      <c r="C290" s="39">
        <v>11353</v>
      </c>
      <c r="D290" s="39"/>
    </row>
    <row r="291" spans="1:18" ht="12.75">
      <c r="A291" s="3" t="s">
        <v>2721</v>
      </c>
      <c r="B291" s="11" t="s">
        <v>2722</v>
      </c>
      <c r="C291" s="36">
        <v>587100</v>
      </c>
      <c r="E291" s="3" t="s">
        <v>2723</v>
      </c>
      <c r="F291" s="19">
        <v>723</v>
      </c>
      <c r="G291" s="19">
        <v>9847.05</v>
      </c>
      <c r="H291" s="19">
        <v>5644.51</v>
      </c>
      <c r="I291" s="8">
        <v>0</v>
      </c>
      <c r="J291" s="9">
        <v>249.99</v>
      </c>
      <c r="K291" s="10">
        <v>2299</v>
      </c>
      <c r="L291" s="9">
        <v>0</v>
      </c>
      <c r="M291" s="9">
        <v>0</v>
      </c>
      <c r="N291" s="9">
        <v>0</v>
      </c>
      <c r="O291" s="9">
        <v>0</v>
      </c>
      <c r="P291" s="9">
        <v>2500</v>
      </c>
      <c r="Q291" s="9">
        <v>0</v>
      </c>
      <c r="R291" s="9">
        <v>0</v>
      </c>
    </row>
    <row r="292" spans="5:18" ht="12.75">
      <c r="E292" s="20" t="s">
        <v>2277</v>
      </c>
      <c r="F292" s="25">
        <f aca="true" t="shared" si="59" ref="F292:L292">SUM(F291)</f>
        <v>723</v>
      </c>
      <c r="G292" s="25">
        <f t="shared" si="59"/>
        <v>9847.05</v>
      </c>
      <c r="H292" s="25">
        <f t="shared" si="59"/>
        <v>5644.51</v>
      </c>
      <c r="I292" s="23">
        <f t="shared" si="59"/>
        <v>0</v>
      </c>
      <c r="J292" s="23">
        <f t="shared" si="59"/>
        <v>249.99</v>
      </c>
      <c r="K292" s="23">
        <f t="shared" si="59"/>
        <v>2299</v>
      </c>
      <c r="L292" s="7">
        <f t="shared" si="59"/>
        <v>0</v>
      </c>
      <c r="M292" s="7">
        <f aca="true" t="shared" si="60" ref="M292:R292">SUM(M291)</f>
        <v>0</v>
      </c>
      <c r="N292" s="7">
        <f t="shared" si="60"/>
        <v>0</v>
      </c>
      <c r="O292" s="7">
        <f t="shared" si="60"/>
        <v>0</v>
      </c>
      <c r="P292" s="7">
        <f t="shared" si="60"/>
        <v>2500</v>
      </c>
      <c r="Q292" s="7">
        <f t="shared" si="60"/>
        <v>0</v>
      </c>
      <c r="R292" s="7">
        <f t="shared" si="60"/>
        <v>0</v>
      </c>
    </row>
    <row r="294" spans="5:18" ht="12.75">
      <c r="E294" s="30" t="s">
        <v>2724</v>
      </c>
      <c r="F294" s="31">
        <f aca="true" t="shared" si="61" ref="F294:K294">SUM(F264:F292)/2</f>
        <v>165313.5</v>
      </c>
      <c r="G294" s="31">
        <f t="shared" si="61"/>
        <v>166682.27000000002</v>
      </c>
      <c r="H294" s="31">
        <f t="shared" si="61"/>
        <v>182683.78</v>
      </c>
      <c r="I294" s="28">
        <f t="shared" si="61"/>
        <v>181147.56999999998</v>
      </c>
      <c r="J294" s="28">
        <f t="shared" si="61"/>
        <v>161741.99499999997</v>
      </c>
      <c r="K294" s="28">
        <f t="shared" si="61"/>
        <v>180670.54</v>
      </c>
      <c r="L294" s="32">
        <f aca="true" t="shared" si="62" ref="L294:R294">SUM(L272+L289+L292)</f>
        <v>240740.06</v>
      </c>
      <c r="M294" s="32">
        <f t="shared" si="62"/>
        <v>245939.12000000005</v>
      </c>
      <c r="N294" s="32">
        <f t="shared" si="62"/>
        <v>277403.45</v>
      </c>
      <c r="O294" s="32">
        <f t="shared" si="62"/>
        <v>291575</v>
      </c>
      <c r="P294" s="32">
        <f t="shared" si="62"/>
        <v>296810</v>
      </c>
      <c r="Q294" s="32">
        <f t="shared" si="62"/>
        <v>320835</v>
      </c>
      <c r="R294" s="32">
        <f t="shared" si="62"/>
        <v>56600</v>
      </c>
    </row>
    <row r="295" spans="5:18" ht="12.75">
      <c r="E295" s="30"/>
      <c r="F295" s="31"/>
      <c r="G295" s="31"/>
      <c r="H295" s="31"/>
      <c r="I295" s="28"/>
      <c r="J295" s="28"/>
      <c r="K295" s="28"/>
      <c r="L295" s="32"/>
      <c r="M295" s="32"/>
      <c r="N295" s="32"/>
      <c r="O295" s="32"/>
      <c r="P295" s="32"/>
      <c r="Q295" s="32"/>
      <c r="R295" s="32"/>
    </row>
    <row r="296" spans="1:5" ht="12.75">
      <c r="A296" s="3" t="s">
        <v>2180</v>
      </c>
      <c r="C296" s="196">
        <v>11322</v>
      </c>
      <c r="D296" s="196"/>
      <c r="E296" s="163" t="s">
        <v>2897</v>
      </c>
    </row>
    <row r="297" spans="1:18" ht="12.75">
      <c r="A297" s="3" t="s">
        <v>2898</v>
      </c>
      <c r="B297" s="11" t="s">
        <v>2899</v>
      </c>
      <c r="C297" s="36">
        <v>578500</v>
      </c>
      <c r="E297" s="3" t="s">
        <v>2897</v>
      </c>
      <c r="F297" s="19">
        <v>398720</v>
      </c>
      <c r="G297" s="19">
        <v>0</v>
      </c>
      <c r="H297" s="19">
        <v>0</v>
      </c>
      <c r="I297" s="8">
        <v>0</v>
      </c>
      <c r="J297" s="9">
        <v>0</v>
      </c>
      <c r="K297" s="10"/>
      <c r="L297" s="9">
        <v>0</v>
      </c>
      <c r="N297" s="9">
        <v>0</v>
      </c>
      <c r="O297" s="9">
        <v>400000</v>
      </c>
      <c r="P297" s="9">
        <v>0</v>
      </c>
      <c r="Q297" s="9">
        <v>400000</v>
      </c>
      <c r="R297" s="9">
        <v>400000</v>
      </c>
    </row>
    <row r="299" spans="5:18" ht="12.75">
      <c r="E299" s="2" t="s">
        <v>2900</v>
      </c>
      <c r="F299" s="31">
        <f aca="true" t="shared" si="63" ref="F299:R299">SUM(F297)</f>
        <v>398720</v>
      </c>
      <c r="G299" s="31">
        <f t="shared" si="63"/>
        <v>0</v>
      </c>
      <c r="H299" s="31">
        <f t="shared" si="63"/>
        <v>0</v>
      </c>
      <c r="I299" s="28">
        <f t="shared" si="63"/>
        <v>0</v>
      </c>
      <c r="J299" s="28">
        <f t="shared" si="63"/>
        <v>0</v>
      </c>
      <c r="K299" s="28">
        <f t="shared" si="63"/>
        <v>0</v>
      </c>
      <c r="L299" s="32">
        <f t="shared" si="63"/>
        <v>0</v>
      </c>
      <c r="M299" s="32">
        <f t="shared" si="63"/>
        <v>0</v>
      </c>
      <c r="N299" s="32">
        <f t="shared" si="63"/>
        <v>0</v>
      </c>
      <c r="O299" s="32">
        <f t="shared" si="63"/>
        <v>400000</v>
      </c>
      <c r="P299" s="32">
        <f t="shared" si="63"/>
        <v>0</v>
      </c>
      <c r="Q299" s="32">
        <f t="shared" si="63"/>
        <v>400000</v>
      </c>
      <c r="R299" s="32">
        <f t="shared" si="63"/>
        <v>400000</v>
      </c>
    </row>
    <row r="300" spans="5:18" ht="12.75">
      <c r="E300" s="48" t="s">
        <v>2180</v>
      </c>
      <c r="F300" s="31"/>
      <c r="G300" s="31"/>
      <c r="H300" s="31"/>
      <c r="I300" s="28"/>
      <c r="J300" s="28"/>
      <c r="K300" s="28"/>
      <c r="L300" s="32"/>
      <c r="M300" s="32"/>
      <c r="N300" s="32"/>
      <c r="O300" s="32"/>
      <c r="P300" s="32"/>
      <c r="Q300" s="32"/>
      <c r="R300" s="32"/>
    </row>
    <row r="301" spans="1:5" ht="12.75">
      <c r="A301" s="3" t="s">
        <v>2180</v>
      </c>
      <c r="C301" s="196">
        <v>11411</v>
      </c>
      <c r="D301" s="196"/>
      <c r="E301" s="163" t="s">
        <v>2725</v>
      </c>
    </row>
    <row r="302" spans="1:18" ht="12.75">
      <c r="A302" s="3" t="s">
        <v>2729</v>
      </c>
      <c r="B302" s="11" t="s">
        <v>2730</v>
      </c>
      <c r="C302" s="36">
        <v>511000</v>
      </c>
      <c r="E302" s="3" t="s">
        <v>2731</v>
      </c>
      <c r="F302" s="19">
        <v>146772</v>
      </c>
      <c r="G302" s="19">
        <v>154309.4</v>
      </c>
      <c r="H302" s="19">
        <v>162270.45</v>
      </c>
      <c r="I302" s="8">
        <v>164749.67</v>
      </c>
      <c r="J302" s="9">
        <f>168621.47+8007.65</f>
        <v>176629.12</v>
      </c>
      <c r="K302" s="10">
        <f>168790.53+12129.83</f>
        <v>180920.36</v>
      </c>
      <c r="L302" s="9">
        <v>181172.56</v>
      </c>
      <c r="M302" s="9">
        <v>173895.58</v>
      </c>
      <c r="N302" s="9">
        <v>173341.2</v>
      </c>
      <c r="O302" s="9">
        <v>185534</v>
      </c>
      <c r="P302" s="9">
        <v>186450</v>
      </c>
      <c r="Q302" s="9">
        <v>186848</v>
      </c>
      <c r="R302" s="9">
        <v>0</v>
      </c>
    </row>
    <row r="303" spans="1:18" ht="12.75">
      <c r="A303" s="3" t="s">
        <v>2732</v>
      </c>
      <c r="B303" s="11" t="s">
        <v>2733</v>
      </c>
      <c r="C303" s="36">
        <v>511100</v>
      </c>
      <c r="E303" s="3" t="s">
        <v>2734</v>
      </c>
      <c r="F303" s="19">
        <v>7199</v>
      </c>
      <c r="G303" s="19">
        <v>11223.44</v>
      </c>
      <c r="H303" s="19">
        <v>10439.71</v>
      </c>
      <c r="I303" s="8">
        <v>11223.32</v>
      </c>
      <c r="J303" s="9">
        <v>9277.4</v>
      </c>
      <c r="K303" s="10">
        <v>10788.4</v>
      </c>
      <c r="L303" s="9">
        <v>9630.24</v>
      </c>
      <c r="M303" s="9">
        <v>10819.2</v>
      </c>
      <c r="N303" s="9">
        <v>13911.38</v>
      </c>
      <c r="O303" s="9">
        <v>14133</v>
      </c>
      <c r="P303" s="9">
        <v>14270</v>
      </c>
      <c r="Q303" s="9">
        <v>14325</v>
      </c>
      <c r="R303" s="9">
        <v>0</v>
      </c>
    </row>
    <row r="304" spans="1:18" ht="12.75">
      <c r="A304" s="3" t="s">
        <v>2726</v>
      </c>
      <c r="B304" s="11" t="s">
        <v>2727</v>
      </c>
      <c r="C304" s="36">
        <v>511900</v>
      </c>
      <c r="E304" s="3" t="s">
        <v>2728</v>
      </c>
      <c r="F304" s="19">
        <v>7368</v>
      </c>
      <c r="G304" s="19">
        <v>7368</v>
      </c>
      <c r="H304" s="19">
        <v>7368</v>
      </c>
      <c r="I304" s="8">
        <v>7368</v>
      </c>
      <c r="J304" s="9">
        <v>7368</v>
      </c>
      <c r="K304" s="10">
        <v>7368</v>
      </c>
      <c r="L304" s="9">
        <v>7368</v>
      </c>
      <c r="M304" s="9">
        <v>7406</v>
      </c>
      <c r="N304" s="9">
        <v>7604.18</v>
      </c>
      <c r="O304" s="9">
        <v>7596</v>
      </c>
      <c r="P304" s="9">
        <v>7645</v>
      </c>
      <c r="Q304" s="9">
        <v>7645</v>
      </c>
      <c r="R304" s="9">
        <v>0</v>
      </c>
    </row>
    <row r="305" spans="1:18" ht="12.75">
      <c r="A305" s="3" t="s">
        <v>2735</v>
      </c>
      <c r="B305" s="11" t="s">
        <v>2736</v>
      </c>
      <c r="C305" s="36">
        <v>514800</v>
      </c>
      <c r="E305" s="3" t="s">
        <v>2288</v>
      </c>
      <c r="F305" s="19">
        <v>275</v>
      </c>
      <c r="G305" s="19">
        <v>275</v>
      </c>
      <c r="H305" s="19">
        <v>275</v>
      </c>
      <c r="I305" s="8">
        <v>275</v>
      </c>
      <c r="J305" s="8">
        <v>550</v>
      </c>
      <c r="K305" s="10">
        <v>550</v>
      </c>
      <c r="L305" s="9">
        <v>550</v>
      </c>
      <c r="M305" s="9">
        <v>550</v>
      </c>
      <c r="N305" s="9">
        <v>750</v>
      </c>
      <c r="O305" s="9">
        <v>650</v>
      </c>
      <c r="P305" s="9">
        <v>650</v>
      </c>
      <c r="Q305" s="9">
        <v>700</v>
      </c>
      <c r="R305" s="9">
        <v>0</v>
      </c>
    </row>
    <row r="306" spans="1:18" ht="12.75">
      <c r="A306" s="3" t="s">
        <v>2741</v>
      </c>
      <c r="B306" s="11" t="s">
        <v>2742</v>
      </c>
      <c r="C306" s="36">
        <v>517000</v>
      </c>
      <c r="E306" s="3" t="s">
        <v>2222</v>
      </c>
      <c r="F306" s="19">
        <v>27906</v>
      </c>
      <c r="G306" s="19">
        <v>29492</v>
      </c>
      <c r="H306" s="19">
        <v>21536</v>
      </c>
      <c r="I306" s="8">
        <v>18272</v>
      </c>
      <c r="J306" s="8">
        <v>22051</v>
      </c>
      <c r="K306" s="10">
        <v>43234</v>
      </c>
      <c r="L306" s="9">
        <v>26520</v>
      </c>
      <c r="M306" s="9">
        <v>30807.7</v>
      </c>
      <c r="N306" s="9">
        <v>33676</v>
      </c>
      <c r="O306" s="9">
        <v>37784</v>
      </c>
      <c r="P306" s="9">
        <v>37784</v>
      </c>
      <c r="Q306" s="9">
        <v>52670</v>
      </c>
      <c r="R306" s="9">
        <v>0</v>
      </c>
    </row>
    <row r="307" spans="1:12" ht="12.75" hidden="1">
      <c r="A307" s="3" t="s">
        <v>2739</v>
      </c>
      <c r="B307" s="11" t="s">
        <v>2740</v>
      </c>
      <c r="E307" s="3" t="s">
        <v>2219</v>
      </c>
      <c r="F307" s="19">
        <v>135</v>
      </c>
      <c r="G307" s="19">
        <v>135</v>
      </c>
      <c r="H307" s="19">
        <v>135</v>
      </c>
      <c r="I307" s="8">
        <v>0</v>
      </c>
      <c r="J307" s="8">
        <v>0</v>
      </c>
      <c r="K307" s="10">
        <v>0</v>
      </c>
      <c r="L307" s="9">
        <v>0</v>
      </c>
    </row>
    <row r="308" spans="1:18" ht="12.75">
      <c r="A308" s="3" t="s">
        <v>2737</v>
      </c>
      <c r="B308" s="11" t="s">
        <v>2738</v>
      </c>
      <c r="C308" s="36">
        <v>517200</v>
      </c>
      <c r="E308" s="3" t="s">
        <v>2683</v>
      </c>
      <c r="F308" s="19">
        <v>330</v>
      </c>
      <c r="G308" s="19">
        <v>248</v>
      </c>
      <c r="H308" s="19">
        <v>248</v>
      </c>
      <c r="I308" s="8">
        <v>248</v>
      </c>
      <c r="J308" s="8">
        <v>248</v>
      </c>
      <c r="K308" s="10">
        <v>248</v>
      </c>
      <c r="L308" s="9">
        <v>248</v>
      </c>
      <c r="M308" s="9">
        <v>932</v>
      </c>
      <c r="N308" s="9">
        <v>892</v>
      </c>
      <c r="O308" s="9">
        <v>848</v>
      </c>
      <c r="P308" s="9">
        <v>848</v>
      </c>
      <c r="Q308" s="9">
        <v>890</v>
      </c>
      <c r="R308" s="9">
        <v>0</v>
      </c>
    </row>
    <row r="309" spans="1:18" ht="12.75">
      <c r="A309" s="3" t="s">
        <v>2743</v>
      </c>
      <c r="B309" s="11" t="s">
        <v>2744</v>
      </c>
      <c r="C309" s="36">
        <v>517800</v>
      </c>
      <c r="E309" s="3" t="s">
        <v>2298</v>
      </c>
      <c r="F309" s="19">
        <v>1712</v>
      </c>
      <c r="G309" s="19">
        <v>1678</v>
      </c>
      <c r="H309" s="19">
        <v>1982</v>
      </c>
      <c r="I309" s="8">
        <v>2090</v>
      </c>
      <c r="J309" s="8">
        <v>2100</v>
      </c>
      <c r="K309" s="10">
        <v>2270</v>
      </c>
      <c r="L309" s="9">
        <v>2270</v>
      </c>
      <c r="M309" s="9">
        <v>2705</v>
      </c>
      <c r="N309" s="9">
        <v>2546</v>
      </c>
      <c r="O309" s="9">
        <v>2810</v>
      </c>
      <c r="P309" s="9">
        <v>2810</v>
      </c>
      <c r="Q309" s="9">
        <v>2858</v>
      </c>
      <c r="R309" s="9">
        <v>0</v>
      </c>
    </row>
    <row r="310" spans="5:18" ht="12.75">
      <c r="E310" s="20" t="s">
        <v>2187</v>
      </c>
      <c r="F310" s="21">
        <f aca="true" t="shared" si="64" ref="F310:L310">SUM(F302:F309)</f>
        <v>191697</v>
      </c>
      <c r="G310" s="21">
        <f t="shared" si="64"/>
        <v>204728.84</v>
      </c>
      <c r="H310" s="21">
        <f t="shared" si="64"/>
        <v>204254.16</v>
      </c>
      <c r="I310" s="22">
        <f t="shared" si="64"/>
        <v>204225.99000000002</v>
      </c>
      <c r="J310" s="23">
        <f t="shared" si="64"/>
        <v>218223.52</v>
      </c>
      <c r="K310" s="23">
        <f t="shared" si="64"/>
        <v>245378.75999999998</v>
      </c>
      <c r="L310" s="7">
        <f t="shared" si="64"/>
        <v>227758.8</v>
      </c>
      <c r="M310" s="7">
        <f aca="true" t="shared" si="65" ref="M310:R310">SUM(M302:M309)</f>
        <v>227115.48</v>
      </c>
      <c r="N310" s="7">
        <f t="shared" si="65"/>
        <v>232720.76</v>
      </c>
      <c r="O310" s="7">
        <f t="shared" si="65"/>
        <v>249355</v>
      </c>
      <c r="P310" s="7">
        <f t="shared" si="65"/>
        <v>250457</v>
      </c>
      <c r="Q310" s="7">
        <f t="shared" si="65"/>
        <v>265936</v>
      </c>
      <c r="R310" s="7">
        <f t="shared" si="65"/>
        <v>0</v>
      </c>
    </row>
    <row r="311" spans="3:4" ht="12.75">
      <c r="C311" s="196">
        <v>11412</v>
      </c>
      <c r="D311" s="196"/>
    </row>
    <row r="312" spans="1:18" ht="12.75">
      <c r="A312" s="3" t="s">
        <v>2745</v>
      </c>
      <c r="B312" s="11" t="s">
        <v>2746</v>
      </c>
      <c r="C312" s="36">
        <v>524500</v>
      </c>
      <c r="E312" s="3" t="s">
        <v>2747</v>
      </c>
      <c r="F312" s="19">
        <v>451</v>
      </c>
      <c r="G312" s="19">
        <v>315</v>
      </c>
      <c r="H312" s="19">
        <v>334.15</v>
      </c>
      <c r="I312" s="10">
        <v>587</v>
      </c>
      <c r="J312" s="10">
        <v>178</v>
      </c>
      <c r="K312" s="10">
        <v>695.94</v>
      </c>
      <c r="L312" s="9">
        <v>905.95</v>
      </c>
      <c r="M312" s="9">
        <v>642</v>
      </c>
      <c r="N312" s="9">
        <v>570.37</v>
      </c>
      <c r="O312" s="9">
        <v>1000</v>
      </c>
      <c r="P312" s="9">
        <v>1000</v>
      </c>
      <c r="Q312" s="9">
        <v>1000</v>
      </c>
      <c r="R312" s="9">
        <v>0</v>
      </c>
    </row>
    <row r="313" spans="1:18" ht="12.75">
      <c r="A313" s="3" t="s">
        <v>2750</v>
      </c>
      <c r="B313" s="11" t="s">
        <v>2751</v>
      </c>
      <c r="C313" s="36">
        <v>530000</v>
      </c>
      <c r="E313" s="3" t="s">
        <v>2752</v>
      </c>
      <c r="F313" s="19">
        <v>793</v>
      </c>
      <c r="G313" s="19">
        <v>1064.1</v>
      </c>
      <c r="H313" s="19">
        <v>1179.06</v>
      </c>
      <c r="I313" s="10">
        <v>1140.14</v>
      </c>
      <c r="J313" s="10">
        <v>1028.6</v>
      </c>
      <c r="K313" s="10">
        <v>441.96</v>
      </c>
      <c r="L313" s="9">
        <v>952.97</v>
      </c>
      <c r="M313" s="9">
        <v>1231</v>
      </c>
      <c r="N313" s="9">
        <v>0</v>
      </c>
      <c r="O313" s="9">
        <v>1000</v>
      </c>
      <c r="P313" s="9">
        <v>1000</v>
      </c>
      <c r="Q313" s="9">
        <v>1000</v>
      </c>
      <c r="R313" s="9">
        <v>0</v>
      </c>
    </row>
    <row r="314" spans="1:18" ht="12.75">
      <c r="A314" s="3" t="s">
        <v>2753</v>
      </c>
      <c r="B314" s="11" t="s">
        <v>2754</v>
      </c>
      <c r="C314" s="36">
        <v>530200</v>
      </c>
      <c r="E314" s="3" t="s">
        <v>2755</v>
      </c>
      <c r="F314" s="19">
        <v>46206</v>
      </c>
      <c r="G314" s="19">
        <v>37518.59</v>
      </c>
      <c r="H314" s="19">
        <v>42256.96</v>
      </c>
      <c r="I314" s="10">
        <v>73774.21</v>
      </c>
      <c r="J314" s="9">
        <v>58549.3</v>
      </c>
      <c r="K314" s="10">
        <v>74442.5</v>
      </c>
      <c r="L314" s="9">
        <v>71696.24</v>
      </c>
      <c r="M314" s="9">
        <v>76757.42</v>
      </c>
      <c r="N314" s="9">
        <v>77071.77</v>
      </c>
      <c r="O314" s="9">
        <v>75500</v>
      </c>
      <c r="P314" s="9">
        <v>75500</v>
      </c>
      <c r="Q314" s="9">
        <v>78325</v>
      </c>
      <c r="R314" s="9">
        <v>0</v>
      </c>
    </row>
    <row r="315" spans="1:18" ht="12.75">
      <c r="A315" s="3" t="s">
        <v>2748</v>
      </c>
      <c r="B315" s="11" t="s">
        <v>2749</v>
      </c>
      <c r="C315" s="36">
        <v>530600</v>
      </c>
      <c r="E315" s="3" t="s">
        <v>2476</v>
      </c>
      <c r="F315" s="19">
        <v>6946</v>
      </c>
      <c r="G315" s="19">
        <v>3982.29</v>
      </c>
      <c r="H315" s="19">
        <v>10620.35</v>
      </c>
      <c r="I315" s="10">
        <v>5872.15</v>
      </c>
      <c r="J315" s="10">
        <v>2501.28</v>
      </c>
      <c r="K315" s="10">
        <v>2845.3</v>
      </c>
      <c r="L315" s="9">
        <v>1854.83</v>
      </c>
      <c r="M315" s="9">
        <v>1244.11</v>
      </c>
      <c r="N315" s="9">
        <v>974.75</v>
      </c>
      <c r="O315" s="9">
        <v>2400</v>
      </c>
      <c r="P315" s="9">
        <v>2400</v>
      </c>
      <c r="Q315" s="9">
        <v>2400</v>
      </c>
      <c r="R315" s="9">
        <v>0</v>
      </c>
    </row>
    <row r="316" spans="1:18" ht="12.75">
      <c r="A316" s="3" t="s">
        <v>2756</v>
      </c>
      <c r="B316" s="11" t="s">
        <v>2757</v>
      </c>
      <c r="C316" s="36">
        <v>542100</v>
      </c>
      <c r="E316" s="3" t="s">
        <v>2335</v>
      </c>
      <c r="F316" s="19">
        <v>4282</v>
      </c>
      <c r="G316" s="19">
        <v>4276.16</v>
      </c>
      <c r="H316" s="19">
        <v>4147.72</v>
      </c>
      <c r="I316" s="10">
        <v>4273.86</v>
      </c>
      <c r="J316" s="9">
        <v>4426.3</v>
      </c>
      <c r="K316" s="10">
        <v>2336.49</v>
      </c>
      <c r="L316" s="9">
        <v>6850.98</v>
      </c>
      <c r="M316" s="9">
        <v>3736.14</v>
      </c>
      <c r="N316" s="9">
        <v>5421.6</v>
      </c>
      <c r="O316" s="9">
        <v>3000</v>
      </c>
      <c r="P316" s="9">
        <v>3000</v>
      </c>
      <c r="Q316" s="9">
        <v>3000</v>
      </c>
      <c r="R316" s="9">
        <v>0</v>
      </c>
    </row>
    <row r="317" spans="1:18" ht="12.75">
      <c r="A317" s="3" t="s">
        <v>2764</v>
      </c>
      <c r="B317" s="11" t="s">
        <v>2765</v>
      </c>
      <c r="C317" s="36">
        <v>558100</v>
      </c>
      <c r="E317" s="3" t="s">
        <v>2766</v>
      </c>
      <c r="F317" s="19">
        <v>742</v>
      </c>
      <c r="G317" s="19">
        <v>1515</v>
      </c>
      <c r="H317" s="19">
        <v>708.37</v>
      </c>
      <c r="I317" s="10">
        <v>969.75</v>
      </c>
      <c r="J317" s="10">
        <v>1069.52</v>
      </c>
      <c r="K317" s="10">
        <v>1304.56</v>
      </c>
      <c r="L317" s="9">
        <v>1162.21</v>
      </c>
      <c r="M317" s="9">
        <v>1272.65</v>
      </c>
      <c r="N317" s="9">
        <v>1368.48</v>
      </c>
      <c r="O317" s="9">
        <v>2500</v>
      </c>
      <c r="P317" s="9">
        <v>2500</v>
      </c>
      <c r="Q317" s="9">
        <v>2500</v>
      </c>
      <c r="R317" s="9">
        <v>0</v>
      </c>
    </row>
    <row r="318" spans="1:18" ht="12.75">
      <c r="A318" s="3" t="s">
        <v>2758</v>
      </c>
      <c r="B318" s="11" t="s">
        <v>2759</v>
      </c>
      <c r="C318" s="36">
        <v>571000</v>
      </c>
      <c r="E318" s="3" t="s">
        <v>2389</v>
      </c>
      <c r="F318" s="19">
        <v>2025</v>
      </c>
      <c r="G318" s="19">
        <v>3014.35</v>
      </c>
      <c r="H318" s="19">
        <v>3610</v>
      </c>
      <c r="I318" s="10">
        <v>520</v>
      </c>
      <c r="J318" s="10">
        <v>2002.83</v>
      </c>
      <c r="K318" s="10">
        <v>2229.94</v>
      </c>
      <c r="L318" s="9">
        <v>2724.31</v>
      </c>
      <c r="M318" s="9">
        <v>1015</v>
      </c>
      <c r="N318" s="9">
        <v>1131.92</v>
      </c>
      <c r="O318" s="9">
        <v>2000</v>
      </c>
      <c r="P318" s="9">
        <v>2000</v>
      </c>
      <c r="Q318" s="9">
        <v>2000</v>
      </c>
      <c r="R318" s="9">
        <v>0</v>
      </c>
    </row>
    <row r="319" spans="1:14" ht="12.75" hidden="1">
      <c r="A319" s="3" t="s">
        <v>2760</v>
      </c>
      <c r="B319" s="11" t="s">
        <v>2761</v>
      </c>
      <c r="E319" s="3" t="s">
        <v>2350</v>
      </c>
      <c r="F319" s="19">
        <v>4200</v>
      </c>
      <c r="G319" s="19">
        <v>4200</v>
      </c>
      <c r="H319" s="19">
        <v>5387.5</v>
      </c>
      <c r="I319" s="10">
        <v>4200</v>
      </c>
      <c r="J319" s="10">
        <v>4200</v>
      </c>
      <c r="K319" s="10">
        <v>4200</v>
      </c>
      <c r="L319" s="9">
        <f>4200-4200</f>
        <v>0</v>
      </c>
      <c r="M319" s="9">
        <f>4200-4200</f>
        <v>0</v>
      </c>
      <c r="N319" s="9">
        <f>4200-4200</f>
        <v>0</v>
      </c>
    </row>
    <row r="320" spans="1:18" ht="12.75">
      <c r="A320" s="3" t="s">
        <v>2762</v>
      </c>
      <c r="B320" s="11" t="s">
        <v>2763</v>
      </c>
      <c r="C320" s="36">
        <v>573000</v>
      </c>
      <c r="E320" s="3" t="s">
        <v>2395</v>
      </c>
      <c r="F320" s="19">
        <v>1255</v>
      </c>
      <c r="G320" s="19">
        <v>766.58</v>
      </c>
      <c r="H320" s="19">
        <v>1790</v>
      </c>
      <c r="I320" s="10">
        <v>1955</v>
      </c>
      <c r="J320" s="10">
        <v>1195</v>
      </c>
      <c r="K320" s="10">
        <v>1500</v>
      </c>
      <c r="L320" s="9">
        <v>2170</v>
      </c>
      <c r="M320" s="9">
        <v>1795</v>
      </c>
      <c r="N320" s="9">
        <v>2752.5</v>
      </c>
      <c r="O320" s="9">
        <v>2100</v>
      </c>
      <c r="P320" s="9">
        <v>2100</v>
      </c>
      <c r="Q320" s="9">
        <v>2100</v>
      </c>
      <c r="R320" s="9">
        <v>0</v>
      </c>
    </row>
    <row r="321" spans="2:14" ht="12.75">
      <c r="B321" s="40">
        <v>5339.2</v>
      </c>
      <c r="E321" s="3" t="s">
        <v>2249</v>
      </c>
      <c r="I321" s="10"/>
      <c r="J321" s="10"/>
      <c r="K321" s="10"/>
      <c r="L321" s="9">
        <v>0</v>
      </c>
      <c r="M321" s="9">
        <v>2925</v>
      </c>
      <c r="N321" s="9">
        <v>0</v>
      </c>
    </row>
    <row r="322" spans="5:18" ht="12.75">
      <c r="E322" s="20" t="s">
        <v>2274</v>
      </c>
      <c r="F322" s="21">
        <f aca="true" t="shared" si="66" ref="F322:K322">SUM(F318:F321)</f>
        <v>7480</v>
      </c>
      <c r="G322" s="21">
        <f t="shared" si="66"/>
        <v>7980.93</v>
      </c>
      <c r="H322" s="21">
        <f t="shared" si="66"/>
        <v>10787.5</v>
      </c>
      <c r="I322" s="22">
        <f t="shared" si="66"/>
        <v>6675</v>
      </c>
      <c r="J322" s="23">
        <f t="shared" si="66"/>
        <v>7397.83</v>
      </c>
      <c r="K322" s="23">
        <f t="shared" si="66"/>
        <v>7929.9400000000005</v>
      </c>
      <c r="L322" s="7">
        <f>SUM(L312:L321)</f>
        <v>88317.49</v>
      </c>
      <c r="M322" s="7">
        <f aca="true" t="shared" si="67" ref="M322:R322">SUM(M312:M321)</f>
        <v>90618.31999999999</v>
      </c>
      <c r="N322" s="7">
        <f t="shared" si="67"/>
        <v>89291.39</v>
      </c>
      <c r="O322" s="7">
        <f t="shared" si="67"/>
        <v>89500</v>
      </c>
      <c r="P322" s="7">
        <f t="shared" si="67"/>
        <v>89500</v>
      </c>
      <c r="Q322" s="7">
        <f t="shared" si="67"/>
        <v>92325</v>
      </c>
      <c r="R322" s="7">
        <f t="shared" si="67"/>
        <v>0</v>
      </c>
    </row>
    <row r="323" spans="5:18" ht="6.75" customHeight="1">
      <c r="E323" s="20"/>
      <c r="F323" s="21"/>
      <c r="G323" s="21"/>
      <c r="H323" s="21"/>
      <c r="I323" s="22"/>
      <c r="J323" s="23"/>
      <c r="K323" s="23"/>
      <c r="L323" s="7"/>
      <c r="M323" s="7"/>
      <c r="N323" s="7"/>
      <c r="O323" s="7"/>
      <c r="P323" s="7"/>
      <c r="Q323" s="7"/>
      <c r="R323" s="7"/>
    </row>
    <row r="324" spans="5:18" ht="12.75">
      <c r="E324" s="3" t="s">
        <v>1287</v>
      </c>
      <c r="F324" s="37"/>
      <c r="G324" s="37"/>
      <c r="H324" s="37"/>
      <c r="J324" s="10"/>
      <c r="K324" s="10"/>
      <c r="L324" s="9">
        <v>4832.25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</row>
    <row r="325" spans="2:19" s="20" customFormat="1" ht="12.75">
      <c r="B325" s="51"/>
      <c r="C325" s="196"/>
      <c r="D325" s="196"/>
      <c r="E325" s="20" t="s">
        <v>1563</v>
      </c>
      <c r="F325" s="21"/>
      <c r="G325" s="21"/>
      <c r="H325" s="21"/>
      <c r="I325" s="22"/>
      <c r="J325" s="7"/>
      <c r="K325" s="22"/>
      <c r="L325" s="7">
        <f aca="true" t="shared" si="68" ref="L325:R325">SUM(L324)</f>
        <v>4832.25</v>
      </c>
      <c r="M325" s="7">
        <f t="shared" si="68"/>
        <v>0</v>
      </c>
      <c r="N325" s="7">
        <f t="shared" si="68"/>
        <v>0</v>
      </c>
      <c r="O325" s="7">
        <f t="shared" si="68"/>
        <v>0</v>
      </c>
      <c r="P325" s="7">
        <f t="shared" si="68"/>
        <v>0</v>
      </c>
      <c r="Q325" s="7">
        <f t="shared" si="68"/>
        <v>0</v>
      </c>
      <c r="R325" s="7">
        <f t="shared" si="68"/>
        <v>0</v>
      </c>
      <c r="S325" s="22"/>
    </row>
    <row r="326" spans="6:8" ht="12.75">
      <c r="F326" s="37"/>
      <c r="G326" s="37"/>
      <c r="H326" s="37"/>
    </row>
    <row r="327" spans="5:18" ht="12.75">
      <c r="E327" s="2" t="s">
        <v>2767</v>
      </c>
      <c r="F327" s="31">
        <f>SUM(F302:F322)/2</f>
        <v>228887</v>
      </c>
      <c r="G327" s="31">
        <f>SUM(G302:G322)/2</f>
        <v>237045.33999999997</v>
      </c>
      <c r="H327" s="31">
        <f>SUM(H302:H322)/2</f>
        <v>244664.965</v>
      </c>
      <c r="I327" s="28">
        <f>SUM(I302:I322)/2</f>
        <v>254209.54500000004</v>
      </c>
      <c r="J327" s="28">
        <f>SUM(J302:J322)/2</f>
        <v>259497.85</v>
      </c>
      <c r="K327" s="32">
        <f>SUM(K302:K326)/2</f>
        <v>294342.07499999995</v>
      </c>
      <c r="L327" s="32">
        <f>SUM(L310+L322+L325)</f>
        <v>320908.54</v>
      </c>
      <c r="M327" s="32">
        <f aca="true" t="shared" si="69" ref="M327:R327">SUM(M310+M322+M325)</f>
        <v>317733.8</v>
      </c>
      <c r="N327" s="32">
        <f t="shared" si="69"/>
        <v>322012.15</v>
      </c>
      <c r="O327" s="32">
        <f t="shared" si="69"/>
        <v>338855</v>
      </c>
      <c r="P327" s="32">
        <f t="shared" si="69"/>
        <v>339957</v>
      </c>
      <c r="Q327" s="32">
        <f t="shared" si="69"/>
        <v>358261</v>
      </c>
      <c r="R327" s="32">
        <f t="shared" si="69"/>
        <v>0</v>
      </c>
    </row>
    <row r="328" ht="12.75">
      <c r="A328" s="3" t="s">
        <v>2180</v>
      </c>
    </row>
    <row r="329" spans="1:5" ht="12.75">
      <c r="A329" s="3" t="s">
        <v>2180</v>
      </c>
      <c r="E329" s="164" t="s">
        <v>2768</v>
      </c>
    </row>
    <row r="330" spans="3:5" ht="12.75">
      <c r="C330" s="196">
        <v>11451</v>
      </c>
      <c r="D330" s="196"/>
      <c r="E330" s="53"/>
    </row>
    <row r="331" spans="1:17" ht="12.75">
      <c r="A331" s="3" t="s">
        <v>2771</v>
      </c>
      <c r="B331" s="11" t="s">
        <v>2772</v>
      </c>
      <c r="C331" s="36">
        <v>511000</v>
      </c>
      <c r="E331" s="3" t="s">
        <v>2363</v>
      </c>
      <c r="F331" s="19">
        <v>161177</v>
      </c>
      <c r="G331" s="19">
        <v>127691.49</v>
      </c>
      <c r="H331" s="19">
        <v>127245.34</v>
      </c>
      <c r="I331" s="10">
        <v>135580.23</v>
      </c>
      <c r="J331" s="9">
        <v>154208.07</v>
      </c>
      <c r="K331" s="10">
        <v>143527.51</v>
      </c>
      <c r="L331" s="9">
        <v>195827.99</v>
      </c>
      <c r="M331" s="9">
        <v>208567.36</v>
      </c>
      <c r="N331" s="9">
        <v>220888.18</v>
      </c>
      <c r="O331" s="9">
        <v>224457</v>
      </c>
      <c r="P331" s="9">
        <v>253308</v>
      </c>
      <c r="Q331" s="9">
        <v>256417</v>
      </c>
    </row>
    <row r="332" spans="1:17" ht="12.75">
      <c r="A332" s="3" t="s">
        <v>2773</v>
      </c>
      <c r="B332" s="11" t="s">
        <v>2774</v>
      </c>
      <c r="C332" s="36">
        <v>511100</v>
      </c>
      <c r="E332" s="3" t="s">
        <v>2370</v>
      </c>
      <c r="F332" s="19">
        <v>41050</v>
      </c>
      <c r="G332" s="19">
        <v>41579.46</v>
      </c>
      <c r="H332" s="19">
        <v>45024.65</v>
      </c>
      <c r="I332" s="10">
        <v>45642.36</v>
      </c>
      <c r="J332" s="9">
        <v>50021.9</v>
      </c>
      <c r="K332" s="10">
        <v>51818.01</v>
      </c>
      <c r="L332" s="9">
        <v>54429.88</v>
      </c>
      <c r="M332" s="9">
        <v>53838.12</v>
      </c>
      <c r="N332" s="9">
        <v>58858.47</v>
      </c>
      <c r="O332" s="9">
        <v>62261</v>
      </c>
      <c r="P332" s="9">
        <v>40792</v>
      </c>
      <c r="Q332" s="9">
        <v>41868</v>
      </c>
    </row>
    <row r="333" spans="1:17" ht="12.75">
      <c r="A333" s="3" t="s">
        <v>2769</v>
      </c>
      <c r="B333" s="11" t="s">
        <v>2770</v>
      </c>
      <c r="C333" s="36">
        <v>511900</v>
      </c>
      <c r="E333" s="3" t="s">
        <v>2728</v>
      </c>
      <c r="F333" s="19">
        <v>65846</v>
      </c>
      <c r="G333" s="19">
        <v>68474.14</v>
      </c>
      <c r="H333" s="19">
        <v>71202.67</v>
      </c>
      <c r="I333" s="10">
        <v>74028.06</v>
      </c>
      <c r="J333" s="9">
        <v>76262.07</v>
      </c>
      <c r="K333" s="10">
        <v>65000.2</v>
      </c>
      <c r="L333" s="9">
        <v>67599.94</v>
      </c>
      <c r="M333" s="9">
        <v>71119.61</v>
      </c>
      <c r="N333" s="9">
        <v>66819.8</v>
      </c>
      <c r="O333" s="9">
        <v>71690</v>
      </c>
      <c r="P333" s="9">
        <v>71690</v>
      </c>
      <c r="Q333" s="9">
        <v>77803</v>
      </c>
    </row>
    <row r="334" spans="1:17" ht="12.75">
      <c r="A334" s="3" t="s">
        <v>2775</v>
      </c>
      <c r="B334" s="11" t="s">
        <v>2776</v>
      </c>
      <c r="C334" s="36">
        <v>514800</v>
      </c>
      <c r="E334" s="3" t="s">
        <v>2288</v>
      </c>
      <c r="F334" s="19">
        <v>1279</v>
      </c>
      <c r="G334" s="19">
        <v>1053.7</v>
      </c>
      <c r="H334" s="19">
        <v>878.7</v>
      </c>
      <c r="I334" s="10">
        <v>921.45</v>
      </c>
      <c r="J334" s="9">
        <v>921.45</v>
      </c>
      <c r="K334" s="10">
        <v>1146.84</v>
      </c>
      <c r="L334" s="9">
        <v>1196.84</v>
      </c>
      <c r="M334" s="9">
        <v>1289.5</v>
      </c>
      <c r="N334" s="9">
        <v>1676.41</v>
      </c>
      <c r="O334" s="9">
        <v>2999</v>
      </c>
      <c r="P334" s="9">
        <v>1955</v>
      </c>
      <c r="Q334" s="9">
        <v>1955</v>
      </c>
    </row>
    <row r="335" spans="1:17" ht="12.75">
      <c r="A335" s="3" t="s">
        <v>2781</v>
      </c>
      <c r="B335" s="11" t="s">
        <v>2782</v>
      </c>
      <c r="C335" s="36">
        <v>517000</v>
      </c>
      <c r="E335" s="3" t="s">
        <v>2222</v>
      </c>
      <c r="F335" s="19">
        <v>43530</v>
      </c>
      <c r="G335" s="19">
        <v>36708</v>
      </c>
      <c r="H335" s="19">
        <f>38891-6215-4129</f>
        <v>28547</v>
      </c>
      <c r="I335" s="10">
        <v>29198</v>
      </c>
      <c r="J335" s="9">
        <v>38632</v>
      </c>
      <c r="K335" s="10">
        <v>36526</v>
      </c>
      <c r="L335" s="9">
        <v>41840</v>
      </c>
      <c r="M335" s="9">
        <v>45090.2</v>
      </c>
      <c r="N335" s="9">
        <v>53294</v>
      </c>
      <c r="O335" s="9">
        <v>60137</v>
      </c>
      <c r="P335" s="9">
        <v>60137</v>
      </c>
      <c r="Q335" s="9">
        <v>64210</v>
      </c>
    </row>
    <row r="336" spans="1:12" ht="12.75" hidden="1">
      <c r="A336" s="3" t="s">
        <v>2779</v>
      </c>
      <c r="B336" s="11" t="s">
        <v>2780</v>
      </c>
      <c r="E336" s="3" t="s">
        <v>2219</v>
      </c>
      <c r="F336" s="19">
        <v>120</v>
      </c>
      <c r="G336" s="19">
        <v>120</v>
      </c>
      <c r="H336" s="19">
        <v>120</v>
      </c>
      <c r="I336" s="10">
        <v>0</v>
      </c>
      <c r="J336" s="9">
        <v>0</v>
      </c>
      <c r="K336" s="10">
        <v>0</v>
      </c>
      <c r="L336" s="9">
        <v>0</v>
      </c>
    </row>
    <row r="337" spans="1:17" ht="12.75">
      <c r="A337" s="3" t="s">
        <v>2777</v>
      </c>
      <c r="B337" s="11" t="s">
        <v>2778</v>
      </c>
      <c r="C337" s="36">
        <v>517200</v>
      </c>
      <c r="E337" s="3" t="s">
        <v>2291</v>
      </c>
      <c r="F337" s="19">
        <v>581</v>
      </c>
      <c r="G337" s="19">
        <v>436</v>
      </c>
      <c r="H337" s="19">
        <v>436</v>
      </c>
      <c r="I337" s="10">
        <v>436</v>
      </c>
      <c r="J337" s="9">
        <v>436</v>
      </c>
      <c r="K337" s="10">
        <v>436</v>
      </c>
      <c r="L337" s="9">
        <v>436</v>
      </c>
      <c r="M337" s="9">
        <v>1567</v>
      </c>
      <c r="N337" s="9">
        <v>1499</v>
      </c>
      <c r="O337" s="9">
        <v>1425</v>
      </c>
      <c r="P337" s="9">
        <v>1425</v>
      </c>
      <c r="Q337" s="9">
        <v>1496</v>
      </c>
    </row>
    <row r="338" spans="1:17" ht="12.75">
      <c r="A338" s="3" t="s">
        <v>2783</v>
      </c>
      <c r="B338" s="11" t="s">
        <v>2784</v>
      </c>
      <c r="C338" s="36">
        <v>517800</v>
      </c>
      <c r="E338" s="3" t="s">
        <v>2298</v>
      </c>
      <c r="F338" s="19">
        <v>1764</v>
      </c>
      <c r="G338" s="19">
        <v>2038</v>
      </c>
      <c r="H338" s="19">
        <v>2627</v>
      </c>
      <c r="I338" s="10">
        <v>1860</v>
      </c>
      <c r="J338" s="9">
        <v>2240</v>
      </c>
      <c r="K338" s="10">
        <f>2660-270</f>
        <v>2390</v>
      </c>
      <c r="L338" s="9">
        <v>2390</v>
      </c>
      <c r="M338" s="9">
        <v>3076</v>
      </c>
      <c r="N338" s="9">
        <v>3062</v>
      </c>
      <c r="O338" s="9">
        <v>3249</v>
      </c>
      <c r="P338" s="9">
        <v>3249</v>
      </c>
      <c r="Q338" s="9">
        <v>3849</v>
      </c>
    </row>
    <row r="339" spans="5:18" ht="12.75">
      <c r="E339" s="20" t="s">
        <v>2187</v>
      </c>
      <c r="F339" s="21">
        <f aca="true" t="shared" si="70" ref="F339:L339">SUM(F331:F338)</f>
        <v>315347</v>
      </c>
      <c r="G339" s="21">
        <f t="shared" si="70"/>
        <v>278100.79000000004</v>
      </c>
      <c r="H339" s="21">
        <f t="shared" si="70"/>
        <v>276081.36</v>
      </c>
      <c r="I339" s="22">
        <f t="shared" si="70"/>
        <v>287666.10000000003</v>
      </c>
      <c r="J339" s="23">
        <f t="shared" si="70"/>
        <v>322721.49000000005</v>
      </c>
      <c r="K339" s="23">
        <f t="shared" si="70"/>
        <v>300844.56000000006</v>
      </c>
      <c r="L339" s="7">
        <f t="shared" si="70"/>
        <v>363720.65</v>
      </c>
      <c r="M339" s="7">
        <f aca="true" t="shared" si="71" ref="M339:R339">SUM(M331:M338)</f>
        <v>384547.79</v>
      </c>
      <c r="N339" s="7">
        <f t="shared" si="71"/>
        <v>406097.86</v>
      </c>
      <c r="O339" s="7">
        <f t="shared" si="71"/>
        <v>426218</v>
      </c>
      <c r="P339" s="7">
        <f t="shared" si="71"/>
        <v>432556</v>
      </c>
      <c r="Q339" s="7">
        <f t="shared" si="71"/>
        <v>447598</v>
      </c>
      <c r="R339" s="7">
        <f t="shared" si="71"/>
        <v>0</v>
      </c>
    </row>
    <row r="340" spans="3:4" ht="12.75">
      <c r="C340" s="196">
        <v>11452</v>
      </c>
      <c r="D340" s="196"/>
    </row>
    <row r="341" spans="1:17" ht="12.75">
      <c r="A341" s="3" t="s">
        <v>2785</v>
      </c>
      <c r="B341" s="11" t="s">
        <v>2786</v>
      </c>
      <c r="C341" s="36">
        <v>524500</v>
      </c>
      <c r="E341" s="24" t="s">
        <v>2787</v>
      </c>
      <c r="F341" s="19">
        <v>2087</v>
      </c>
      <c r="G341" s="19">
        <v>3291.74</v>
      </c>
      <c r="H341" s="19">
        <v>3804.85</v>
      </c>
      <c r="I341" s="10">
        <v>4556.07</v>
      </c>
      <c r="J341" s="9">
        <v>5712.58</v>
      </c>
      <c r="K341" s="10">
        <v>6861.85</v>
      </c>
      <c r="L341" s="9">
        <v>2820.75</v>
      </c>
      <c r="M341" s="9">
        <v>2929.64</v>
      </c>
      <c r="N341" s="9">
        <v>2635.85</v>
      </c>
      <c r="O341" s="9">
        <v>2825</v>
      </c>
      <c r="P341" s="9">
        <v>2800</v>
      </c>
      <c r="Q341" s="9">
        <v>2825</v>
      </c>
    </row>
    <row r="342" spans="1:15" ht="12.75">
      <c r="A342" s="3" t="s">
        <v>2798</v>
      </c>
      <c r="B342" s="11" t="s">
        <v>2799</v>
      </c>
      <c r="C342" s="36">
        <v>530000</v>
      </c>
      <c r="E342" s="3" t="s">
        <v>2800</v>
      </c>
      <c r="F342" s="19">
        <v>0</v>
      </c>
      <c r="G342" s="19">
        <v>0</v>
      </c>
      <c r="H342" s="19">
        <v>0</v>
      </c>
      <c r="I342" s="10">
        <v>0</v>
      </c>
      <c r="J342" s="9">
        <v>0</v>
      </c>
      <c r="K342" s="10">
        <v>0</v>
      </c>
      <c r="L342" s="9">
        <v>0</v>
      </c>
      <c r="N342" s="9">
        <v>0</v>
      </c>
      <c r="O342" s="9">
        <v>750</v>
      </c>
    </row>
    <row r="343" spans="1:15" ht="12.75">
      <c r="A343" s="3" t="s">
        <v>2801</v>
      </c>
      <c r="B343" s="11" t="s">
        <v>2802</v>
      </c>
      <c r="C343" s="36">
        <v>530000</v>
      </c>
      <c r="E343" s="3" t="s">
        <v>2803</v>
      </c>
      <c r="F343" s="19">
        <v>657</v>
      </c>
      <c r="G343" s="19">
        <v>517.75</v>
      </c>
      <c r="H343" s="19">
        <v>702.44</v>
      </c>
      <c r="I343" s="10">
        <v>886</v>
      </c>
      <c r="J343" s="9">
        <v>334.72</v>
      </c>
      <c r="K343" s="10">
        <v>0</v>
      </c>
      <c r="L343" s="9">
        <v>1676.73</v>
      </c>
      <c r="N343" s="9">
        <v>1926.51</v>
      </c>
      <c r="O343" s="9">
        <v>1750</v>
      </c>
    </row>
    <row r="344" spans="1:17" ht="12.75">
      <c r="A344" s="3" t="s">
        <v>2804</v>
      </c>
      <c r="B344" s="11" t="s">
        <v>2805</v>
      </c>
      <c r="C344" s="36">
        <v>530000</v>
      </c>
      <c r="E344" s="3" t="s">
        <v>2839</v>
      </c>
      <c r="F344" s="19">
        <v>15915</v>
      </c>
      <c r="G344" s="19">
        <v>7187.47</v>
      </c>
      <c r="H344" s="19">
        <v>14404.2</v>
      </c>
      <c r="I344" s="10">
        <v>9016.75</v>
      </c>
      <c r="J344" s="9">
        <v>12152.39</v>
      </c>
      <c r="K344" s="10">
        <v>11775.09</v>
      </c>
      <c r="L344" s="9">
        <v>6859.37</v>
      </c>
      <c r="M344" s="9">
        <v>24995.86</v>
      </c>
      <c r="N344" s="9">
        <v>14655.83</v>
      </c>
      <c r="O344" s="9">
        <v>15045</v>
      </c>
      <c r="P344" s="9">
        <v>15000</v>
      </c>
      <c r="Q344" s="9">
        <v>17545</v>
      </c>
    </row>
    <row r="345" spans="1:17" ht="12.75">
      <c r="A345" s="3" t="s">
        <v>2840</v>
      </c>
      <c r="B345" s="11" t="s">
        <v>2841</v>
      </c>
      <c r="C345" s="36">
        <v>530600</v>
      </c>
      <c r="E345" s="3" t="s">
        <v>2842</v>
      </c>
      <c r="F345" s="19">
        <v>31607</v>
      </c>
      <c r="G345" s="19">
        <v>55890.56</v>
      </c>
      <c r="H345" s="19">
        <v>23953.39</v>
      </c>
      <c r="I345" s="10">
        <v>27045.07</v>
      </c>
      <c r="J345" s="9">
        <v>45611.5</v>
      </c>
      <c r="K345" s="10">
        <v>15146.44</v>
      </c>
      <c r="L345" s="9">
        <v>19833.05</v>
      </c>
      <c r="M345" s="9">
        <v>25329.66</v>
      </c>
      <c r="N345" s="9">
        <v>15102.79</v>
      </c>
      <c r="O345" s="9">
        <v>14906</v>
      </c>
      <c r="P345" s="9">
        <v>14000</v>
      </c>
      <c r="Q345" s="9">
        <v>14906</v>
      </c>
    </row>
    <row r="346" spans="1:17" ht="12.75">
      <c r="A346" s="3" t="s">
        <v>2845</v>
      </c>
      <c r="B346" s="11" t="s">
        <v>2846</v>
      </c>
      <c r="C346" s="36">
        <v>534500</v>
      </c>
      <c r="E346" s="3" t="s">
        <v>2195</v>
      </c>
      <c r="F346" s="19">
        <v>40552</v>
      </c>
      <c r="G346" s="19">
        <v>38702</v>
      </c>
      <c r="H346" s="19">
        <v>45594.16</v>
      </c>
      <c r="I346" s="10">
        <v>40967.49</v>
      </c>
      <c r="J346" s="9">
        <v>44127.6</v>
      </c>
      <c r="K346" s="10">
        <v>41833.29</v>
      </c>
      <c r="L346" s="9">
        <v>44135.48</v>
      </c>
      <c r="M346" s="9">
        <v>42396.07</v>
      </c>
      <c r="N346" s="9">
        <v>23520.82</v>
      </c>
      <c r="O346" s="9">
        <v>24800</v>
      </c>
      <c r="P346" s="9">
        <v>22000</v>
      </c>
      <c r="Q346" s="9">
        <v>24800</v>
      </c>
    </row>
    <row r="347" spans="1:17" ht="12.75">
      <c r="A347" s="3" t="s">
        <v>2843</v>
      </c>
      <c r="B347" s="11" t="s">
        <v>2844</v>
      </c>
      <c r="C347" s="36">
        <v>534700</v>
      </c>
      <c r="E347" s="3" t="s">
        <v>2193</v>
      </c>
      <c r="F347" s="19">
        <v>5431</v>
      </c>
      <c r="G347" s="19">
        <v>6026.14</v>
      </c>
      <c r="H347" s="19">
        <v>5200</v>
      </c>
      <c r="I347" s="10">
        <v>6258.82</v>
      </c>
      <c r="J347" s="9">
        <v>5309.05</v>
      </c>
      <c r="K347" s="10">
        <v>9877.61</v>
      </c>
      <c r="L347" s="9">
        <v>8596.88</v>
      </c>
      <c r="M347" s="9">
        <v>12485.94</v>
      </c>
      <c r="N347" s="9">
        <v>14690.19</v>
      </c>
      <c r="O347" s="9">
        <v>15000</v>
      </c>
      <c r="P347" s="9">
        <v>15000</v>
      </c>
      <c r="Q347" s="9">
        <v>15000</v>
      </c>
    </row>
    <row r="348" spans="1:17" ht="12.75">
      <c r="A348" s="3" t="s">
        <v>2849</v>
      </c>
      <c r="B348" s="11" t="s">
        <v>2850</v>
      </c>
      <c r="C348" s="36">
        <v>542100</v>
      </c>
      <c r="E348" s="3" t="s">
        <v>2335</v>
      </c>
      <c r="F348" s="19">
        <v>6479</v>
      </c>
      <c r="G348" s="19">
        <v>1766.34</v>
      </c>
      <c r="H348" s="19">
        <v>4621.02</v>
      </c>
      <c r="I348" s="10">
        <v>1166.77</v>
      </c>
      <c r="J348" s="9">
        <v>13617.61</v>
      </c>
      <c r="K348" s="10">
        <v>1839.53</v>
      </c>
      <c r="L348" s="9">
        <v>4463.54</v>
      </c>
      <c r="M348" s="9">
        <v>6390.15</v>
      </c>
      <c r="N348" s="9">
        <v>6545.21</v>
      </c>
      <c r="O348" s="9">
        <v>6600</v>
      </c>
      <c r="P348" s="9">
        <v>6000</v>
      </c>
      <c r="Q348" s="9">
        <v>6600</v>
      </c>
    </row>
    <row r="349" spans="2:18" ht="12.75" hidden="1">
      <c r="B349" s="50" t="s">
        <v>2847</v>
      </c>
      <c r="C349" s="49"/>
      <c r="D349" s="49"/>
      <c r="E349" s="3" t="s">
        <v>2848</v>
      </c>
      <c r="F349" s="19">
        <v>0</v>
      </c>
      <c r="G349" s="19">
        <v>0</v>
      </c>
      <c r="H349" s="19">
        <v>0</v>
      </c>
      <c r="I349" s="10">
        <v>1713.04</v>
      </c>
      <c r="J349" s="9">
        <v>1706</v>
      </c>
      <c r="K349" s="10">
        <v>800.16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v>0</v>
      </c>
      <c r="R349" s="9">
        <v>0</v>
      </c>
    </row>
    <row r="350" spans="1:17" ht="12.75">
      <c r="A350" s="3" t="s">
        <v>2851</v>
      </c>
      <c r="B350" s="11" t="s">
        <v>2852</v>
      </c>
      <c r="C350" s="36">
        <v>542200</v>
      </c>
      <c r="E350" s="3" t="s">
        <v>2344</v>
      </c>
      <c r="F350" s="19">
        <v>5138</v>
      </c>
      <c r="G350" s="19">
        <v>7962.48</v>
      </c>
      <c r="H350" s="19">
        <v>8248.7</v>
      </c>
      <c r="I350" s="10">
        <v>6591.89</v>
      </c>
      <c r="J350" s="9">
        <v>8924.9</v>
      </c>
      <c r="K350" s="10">
        <v>2014.69</v>
      </c>
      <c r="L350" s="9">
        <v>2080.87</v>
      </c>
      <c r="M350" s="9">
        <v>2200</v>
      </c>
      <c r="N350" s="9">
        <v>2612.07</v>
      </c>
      <c r="O350" s="9">
        <v>2300</v>
      </c>
      <c r="P350" s="9">
        <v>2300</v>
      </c>
      <c r="Q350" s="9">
        <v>2300</v>
      </c>
    </row>
    <row r="351" spans="1:17" ht="12.75">
      <c r="A351" s="3" t="s">
        <v>2853</v>
      </c>
      <c r="B351" s="11" t="s">
        <v>2856</v>
      </c>
      <c r="C351" s="36">
        <v>552900</v>
      </c>
      <c r="E351" s="3" t="s">
        <v>2264</v>
      </c>
      <c r="F351" s="19">
        <v>670</v>
      </c>
      <c r="G351" s="19">
        <v>1286.35</v>
      </c>
      <c r="H351" s="19">
        <v>692.95</v>
      </c>
      <c r="I351" s="10">
        <v>567.95</v>
      </c>
      <c r="J351" s="9">
        <v>578.25</v>
      </c>
      <c r="K351" s="10">
        <v>362</v>
      </c>
      <c r="L351" s="9">
        <v>640.71</v>
      </c>
      <c r="M351" s="9">
        <v>272.49</v>
      </c>
      <c r="N351" s="9">
        <v>739</v>
      </c>
      <c r="O351" s="9">
        <v>700</v>
      </c>
      <c r="P351" s="9">
        <v>700</v>
      </c>
      <c r="Q351" s="9">
        <v>700</v>
      </c>
    </row>
    <row r="352" spans="1:17" ht="12.75">
      <c r="A352" s="3" t="s">
        <v>2857</v>
      </c>
      <c r="B352" s="11" t="s">
        <v>2858</v>
      </c>
      <c r="C352" s="36">
        <v>571000</v>
      </c>
      <c r="E352" s="3" t="s">
        <v>2389</v>
      </c>
      <c r="F352" s="19">
        <v>594</v>
      </c>
      <c r="G352" s="19">
        <v>1019.44</v>
      </c>
      <c r="H352" s="19">
        <v>490.78</v>
      </c>
      <c r="I352" s="10">
        <v>872.34</v>
      </c>
      <c r="J352" s="9">
        <v>737.05</v>
      </c>
      <c r="K352" s="10">
        <v>1140</v>
      </c>
      <c r="L352" s="9">
        <v>879.55</v>
      </c>
      <c r="M352" s="9">
        <v>326.46</v>
      </c>
      <c r="N352" s="9">
        <v>2330.92</v>
      </c>
      <c r="O352" s="9">
        <v>3000</v>
      </c>
      <c r="P352" s="9">
        <v>2500</v>
      </c>
      <c r="Q352" s="9">
        <v>3000</v>
      </c>
    </row>
    <row r="353" spans="1:17" ht="12.75">
      <c r="A353" s="3" t="s">
        <v>2861</v>
      </c>
      <c r="B353" s="11" t="s">
        <v>2862</v>
      </c>
      <c r="C353" s="36">
        <v>573000</v>
      </c>
      <c r="E353" s="3" t="s">
        <v>2863</v>
      </c>
      <c r="F353" s="19">
        <v>445</v>
      </c>
      <c r="G353" s="19">
        <v>370</v>
      </c>
      <c r="H353" s="19">
        <v>380</v>
      </c>
      <c r="I353" s="10">
        <v>420</v>
      </c>
      <c r="J353" s="9">
        <v>440</v>
      </c>
      <c r="K353" s="10">
        <v>375</v>
      </c>
      <c r="L353" s="9">
        <v>435</v>
      </c>
      <c r="M353" s="9">
        <v>235</v>
      </c>
      <c r="N353" s="9">
        <v>775.95</v>
      </c>
      <c r="O353" s="9">
        <v>1000</v>
      </c>
      <c r="P353" s="9">
        <v>1000</v>
      </c>
      <c r="Q353" s="9">
        <v>1000</v>
      </c>
    </row>
    <row r="354" spans="1:14" ht="12.75" hidden="1">
      <c r="A354" s="3" t="s">
        <v>2859</v>
      </c>
      <c r="B354" s="11" t="s">
        <v>2860</v>
      </c>
      <c r="E354" s="3" t="s">
        <v>2350</v>
      </c>
      <c r="F354" s="19">
        <v>1200</v>
      </c>
      <c r="G354" s="19">
        <v>1200</v>
      </c>
      <c r="H354" s="19">
        <v>1228</v>
      </c>
      <c r="I354" s="10">
        <v>1200</v>
      </c>
      <c r="J354" s="9">
        <v>1200</v>
      </c>
      <c r="K354" s="10">
        <v>1200</v>
      </c>
      <c r="L354" s="9">
        <f>1200-1200</f>
        <v>0</v>
      </c>
      <c r="M354" s="9">
        <f>1200-1200</f>
        <v>0</v>
      </c>
      <c r="N354" s="9">
        <f>1200-1200</f>
        <v>0</v>
      </c>
    </row>
    <row r="355" spans="1:14" ht="12.75">
      <c r="A355" s="3" t="s">
        <v>2795</v>
      </c>
      <c r="B355" s="11" t="s">
        <v>2796</v>
      </c>
      <c r="C355" s="36">
        <v>574100</v>
      </c>
      <c r="E355" s="3" t="s">
        <v>2797</v>
      </c>
      <c r="F355" s="19">
        <v>2106</v>
      </c>
      <c r="G355" s="19">
        <v>2145.5</v>
      </c>
      <c r="H355" s="19">
        <v>0</v>
      </c>
      <c r="I355" s="10">
        <v>10</v>
      </c>
      <c r="J355" s="9">
        <v>0</v>
      </c>
      <c r="K355" s="10">
        <v>500</v>
      </c>
      <c r="L355" s="9">
        <v>0</v>
      </c>
      <c r="M355" s="9">
        <v>0</v>
      </c>
      <c r="N355" s="9">
        <v>-12450</v>
      </c>
    </row>
    <row r="356" spans="1:17" ht="12.75">
      <c r="A356" s="3" t="s">
        <v>2864</v>
      </c>
      <c r="B356" s="11" t="s">
        <v>2865</v>
      </c>
      <c r="C356" s="36">
        <v>574100</v>
      </c>
      <c r="E356" s="3" t="s">
        <v>2866</v>
      </c>
      <c r="F356" s="19">
        <v>2039</v>
      </c>
      <c r="G356" s="19">
        <v>2024</v>
      </c>
      <c r="H356" s="19">
        <v>2024</v>
      </c>
      <c r="I356" s="10">
        <v>2042.24</v>
      </c>
      <c r="J356" s="9">
        <v>1672.5</v>
      </c>
      <c r="K356" s="10">
        <v>1772.5</v>
      </c>
      <c r="L356" s="9">
        <v>1672.5</v>
      </c>
      <c r="M356" s="9">
        <v>1712.5</v>
      </c>
      <c r="N356" s="9">
        <v>2132.45</v>
      </c>
      <c r="O356" s="9">
        <v>2200</v>
      </c>
      <c r="P356" s="9">
        <v>2200</v>
      </c>
      <c r="Q356" s="9">
        <v>2200</v>
      </c>
    </row>
    <row r="357" spans="5:18" ht="12.75">
      <c r="E357" s="20" t="s">
        <v>2274</v>
      </c>
      <c r="F357" s="21">
        <f aca="true" t="shared" si="72" ref="F357:K357">SUM(F353:F356)</f>
        <v>5790</v>
      </c>
      <c r="G357" s="21">
        <f t="shared" si="72"/>
        <v>5739.5</v>
      </c>
      <c r="H357" s="21">
        <f t="shared" si="72"/>
        <v>3632</v>
      </c>
      <c r="I357" s="22">
        <f t="shared" si="72"/>
        <v>3672.24</v>
      </c>
      <c r="J357" s="23">
        <f t="shared" si="72"/>
        <v>3312.5</v>
      </c>
      <c r="K357" s="23">
        <f t="shared" si="72"/>
        <v>3847.5</v>
      </c>
      <c r="L357" s="23">
        <f>SUM(L341:L356)</f>
        <v>94094.43000000001</v>
      </c>
      <c r="M357" s="23">
        <f aca="true" t="shared" si="73" ref="M357:R357">SUM(M341:M356)</f>
        <v>119273.77000000002</v>
      </c>
      <c r="N357" s="23">
        <f t="shared" si="73"/>
        <v>75217.59</v>
      </c>
      <c r="O357" s="23">
        <f t="shared" si="73"/>
        <v>90876</v>
      </c>
      <c r="P357" s="23">
        <f t="shared" si="73"/>
        <v>83500</v>
      </c>
      <c r="Q357" s="23">
        <f t="shared" si="73"/>
        <v>90876</v>
      </c>
      <c r="R357" s="23">
        <f t="shared" si="73"/>
        <v>0</v>
      </c>
    </row>
    <row r="358" ht="6" customHeight="1"/>
    <row r="359" spans="1:18" ht="12.75" hidden="1">
      <c r="A359" s="3" t="s">
        <v>2867</v>
      </c>
      <c r="B359" s="36">
        <v>5390</v>
      </c>
      <c r="E359" s="3" t="s">
        <v>2868</v>
      </c>
      <c r="F359" s="19">
        <v>2493</v>
      </c>
      <c r="G359" s="19">
        <v>8192.95</v>
      </c>
      <c r="H359" s="19">
        <v>765.4</v>
      </c>
      <c r="I359" s="10">
        <v>576.6</v>
      </c>
      <c r="J359" s="9">
        <v>471</v>
      </c>
      <c r="K359" s="10">
        <v>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v>0</v>
      </c>
      <c r="R359" s="9">
        <v>0</v>
      </c>
    </row>
    <row r="360" spans="2:18" ht="12.75" hidden="1">
      <c r="B360" s="11">
        <v>5391</v>
      </c>
      <c r="E360" s="3" t="s">
        <v>2869</v>
      </c>
      <c r="F360" s="19">
        <v>0</v>
      </c>
      <c r="G360" s="19">
        <v>0</v>
      </c>
      <c r="H360" s="19">
        <v>0</v>
      </c>
      <c r="I360" s="10"/>
      <c r="J360" s="9">
        <v>0</v>
      </c>
      <c r="K360" s="10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</row>
    <row r="361" spans="5:18" ht="12.75" hidden="1">
      <c r="E361" s="20" t="s">
        <v>2277</v>
      </c>
      <c r="F361" s="25">
        <f aca="true" t="shared" si="74" ref="F361:L361">SUM(F359:F360)</f>
        <v>2493</v>
      </c>
      <c r="G361" s="25">
        <f t="shared" si="74"/>
        <v>8192.95</v>
      </c>
      <c r="H361" s="25">
        <f t="shared" si="74"/>
        <v>765.4</v>
      </c>
      <c r="I361" s="23">
        <f t="shared" si="74"/>
        <v>576.6</v>
      </c>
      <c r="J361" s="23">
        <f t="shared" si="74"/>
        <v>471</v>
      </c>
      <c r="K361" s="23">
        <f t="shared" si="74"/>
        <v>0</v>
      </c>
      <c r="L361" s="7">
        <f t="shared" si="74"/>
        <v>0</v>
      </c>
      <c r="M361" s="7">
        <f aca="true" t="shared" si="75" ref="M361:R361">SUM(M359:M360)</f>
        <v>0</v>
      </c>
      <c r="N361" s="7">
        <f t="shared" si="75"/>
        <v>0</v>
      </c>
      <c r="O361" s="7">
        <f t="shared" si="75"/>
        <v>0</v>
      </c>
      <c r="P361" s="7">
        <f t="shared" si="75"/>
        <v>0</v>
      </c>
      <c r="Q361" s="7">
        <f t="shared" si="75"/>
        <v>0</v>
      </c>
      <c r="R361" s="7">
        <f t="shared" si="75"/>
        <v>0</v>
      </c>
    </row>
    <row r="362" ht="12.75" hidden="1"/>
    <row r="363" ht="8.25" customHeight="1"/>
    <row r="364" spans="5:18" ht="12.75">
      <c r="E364" s="2" t="s">
        <v>2870</v>
      </c>
      <c r="F364" s="31">
        <f aca="true" t="shared" si="76" ref="F364:K364">SUM(F331:F361)/2</f>
        <v>378195</v>
      </c>
      <c r="G364" s="31">
        <f t="shared" si="76"/>
        <v>353858.37499999994</v>
      </c>
      <c r="H364" s="31">
        <f t="shared" si="76"/>
        <v>334335.00499999995</v>
      </c>
      <c r="I364" s="28">
        <f t="shared" si="76"/>
        <v>341736.0349999999</v>
      </c>
      <c r="J364" s="28">
        <f t="shared" si="76"/>
        <v>395910.81500000006</v>
      </c>
      <c r="K364" s="28">
        <f t="shared" si="76"/>
        <v>350517.39</v>
      </c>
      <c r="L364" s="32">
        <f>SUM(L331:L361)/2</f>
        <v>457815.0800000001</v>
      </c>
      <c r="M364" s="32">
        <f aca="true" t="shared" si="77" ref="M364:R364">SUM(M331:M361)/2</f>
        <v>503821.55999999994</v>
      </c>
      <c r="N364" s="32">
        <f t="shared" si="77"/>
        <v>481315.44999999984</v>
      </c>
      <c r="O364" s="32">
        <f t="shared" si="77"/>
        <v>517094</v>
      </c>
      <c r="P364" s="32">
        <f t="shared" si="77"/>
        <v>516056</v>
      </c>
      <c r="Q364" s="32">
        <f t="shared" si="77"/>
        <v>538474</v>
      </c>
      <c r="R364" s="32">
        <f t="shared" si="77"/>
        <v>0</v>
      </c>
    </row>
    <row r="365" spans="5:10" ht="12.75">
      <c r="E365" s="2"/>
      <c r="F365" s="31"/>
      <c r="G365" s="31"/>
      <c r="H365" s="31"/>
      <c r="I365" s="28"/>
      <c r="J365" s="28"/>
    </row>
    <row r="366" spans="1:5" ht="12.75">
      <c r="A366" s="3" t="s">
        <v>2180</v>
      </c>
      <c r="C366" s="196">
        <v>11471</v>
      </c>
      <c r="D366" s="196"/>
      <c r="E366" s="163" t="s">
        <v>2871</v>
      </c>
    </row>
    <row r="367" spans="1:17" ht="12.75">
      <c r="A367" s="3" t="s">
        <v>2872</v>
      </c>
      <c r="B367" s="11" t="s">
        <v>2873</v>
      </c>
      <c r="C367" s="36">
        <v>511100</v>
      </c>
      <c r="E367" s="3" t="s">
        <v>2370</v>
      </c>
      <c r="F367" s="19">
        <v>18065</v>
      </c>
      <c r="G367" s="19">
        <v>26914.6</v>
      </c>
      <c r="H367" s="19">
        <v>27552.22</v>
      </c>
      <c r="I367" s="10">
        <v>27558.11</v>
      </c>
      <c r="J367" s="9">
        <v>30062.97</v>
      </c>
      <c r="K367" s="10">
        <v>26489.92</v>
      </c>
      <c r="L367" s="9">
        <v>3087.5</v>
      </c>
      <c r="M367" s="9">
        <v>2500</v>
      </c>
      <c r="N367" s="9">
        <v>3000</v>
      </c>
      <c r="O367" s="9">
        <v>3000</v>
      </c>
      <c r="P367" s="9">
        <v>3000</v>
      </c>
      <c r="Q367" s="9">
        <v>3000</v>
      </c>
    </row>
    <row r="368" spans="1:15" ht="12.75" hidden="1">
      <c r="A368" s="3" t="s">
        <v>2874</v>
      </c>
      <c r="B368" s="11" t="s">
        <v>2875</v>
      </c>
      <c r="E368" s="3" t="s">
        <v>2288</v>
      </c>
      <c r="F368" s="19">
        <v>193</v>
      </c>
      <c r="G368" s="19">
        <v>235.8</v>
      </c>
      <c r="H368" s="19">
        <v>235.8</v>
      </c>
      <c r="I368" s="10">
        <v>235.8</v>
      </c>
      <c r="J368" s="9">
        <v>235.8</v>
      </c>
      <c r="K368" s="10">
        <v>236.16</v>
      </c>
      <c r="L368" s="9">
        <v>0</v>
      </c>
      <c r="M368" s="9">
        <v>0</v>
      </c>
      <c r="N368" s="9">
        <v>0</v>
      </c>
      <c r="O368" s="9">
        <v>0</v>
      </c>
    </row>
    <row r="369" spans="1:17" ht="12.75">
      <c r="A369" s="3" t="s">
        <v>2876</v>
      </c>
      <c r="B369" s="11" t="s">
        <v>2877</v>
      </c>
      <c r="C369" s="36">
        <v>517200</v>
      </c>
      <c r="E369" s="3" t="s">
        <v>2291</v>
      </c>
      <c r="F369" s="19">
        <v>77</v>
      </c>
      <c r="G369" s="19">
        <v>58</v>
      </c>
      <c r="H369" s="19">
        <v>58</v>
      </c>
      <c r="I369" s="10">
        <v>58</v>
      </c>
      <c r="J369" s="9">
        <v>58</v>
      </c>
      <c r="K369" s="10">
        <v>58</v>
      </c>
      <c r="L369" s="9">
        <v>58</v>
      </c>
      <c r="M369" s="9">
        <v>14</v>
      </c>
      <c r="N369" s="9">
        <v>13</v>
      </c>
      <c r="O369" s="9">
        <v>13</v>
      </c>
      <c r="P369" s="9">
        <v>13</v>
      </c>
      <c r="Q369" s="9">
        <v>14</v>
      </c>
    </row>
    <row r="370" spans="1:15" ht="12.75" hidden="1">
      <c r="A370" s="3" t="s">
        <v>2878</v>
      </c>
      <c r="B370" s="11" t="s">
        <v>2879</v>
      </c>
      <c r="E370" s="3" t="s">
        <v>2219</v>
      </c>
      <c r="F370" s="19">
        <v>48</v>
      </c>
      <c r="G370" s="19">
        <v>48</v>
      </c>
      <c r="H370" s="19">
        <v>48</v>
      </c>
      <c r="I370" s="10">
        <v>0</v>
      </c>
      <c r="J370" s="9">
        <v>0</v>
      </c>
      <c r="K370" s="10">
        <v>0</v>
      </c>
      <c r="L370" s="9">
        <v>0</v>
      </c>
      <c r="M370" s="9">
        <v>0</v>
      </c>
      <c r="N370" s="9">
        <v>0</v>
      </c>
      <c r="O370" s="9">
        <v>0</v>
      </c>
    </row>
    <row r="371" spans="2:15" ht="12.75" hidden="1">
      <c r="B371" s="11" t="s">
        <v>2880</v>
      </c>
      <c r="E371" s="3" t="s">
        <v>2222</v>
      </c>
      <c r="F371" s="19">
        <v>0</v>
      </c>
      <c r="G371" s="19">
        <v>3566</v>
      </c>
      <c r="H371" s="19">
        <v>4129</v>
      </c>
      <c r="I371" s="10">
        <v>3978</v>
      </c>
      <c r="J371" s="9">
        <v>5495</v>
      </c>
      <c r="K371" s="10">
        <v>6960</v>
      </c>
      <c r="L371" s="9">
        <v>0</v>
      </c>
      <c r="M371" s="9">
        <v>0</v>
      </c>
      <c r="N371" s="9">
        <v>0</v>
      </c>
      <c r="O371" s="9">
        <v>0</v>
      </c>
    </row>
    <row r="372" spans="1:17" ht="12.75">
      <c r="A372" s="3" t="s">
        <v>2881</v>
      </c>
      <c r="B372" s="11" t="s">
        <v>2882</v>
      </c>
      <c r="C372" s="36">
        <v>517800</v>
      </c>
      <c r="E372" s="3" t="s">
        <v>2298</v>
      </c>
      <c r="F372" s="19">
        <v>237</v>
      </c>
      <c r="G372" s="19">
        <v>237</v>
      </c>
      <c r="H372" s="19">
        <v>0</v>
      </c>
      <c r="I372" s="10">
        <v>270</v>
      </c>
      <c r="J372" s="9">
        <v>270</v>
      </c>
      <c r="K372" s="10">
        <v>270</v>
      </c>
      <c r="L372" s="9">
        <v>270</v>
      </c>
      <c r="M372" s="9">
        <v>0</v>
      </c>
      <c r="N372" s="9">
        <v>0</v>
      </c>
      <c r="O372" s="9">
        <v>0</v>
      </c>
      <c r="Q372" s="9">
        <v>0</v>
      </c>
    </row>
    <row r="373" spans="5:18" ht="12.75">
      <c r="E373" s="20" t="s">
        <v>2187</v>
      </c>
      <c r="F373" s="21">
        <f aca="true" t="shared" si="78" ref="F373:L373">SUM(F367:F372)</f>
        <v>18620</v>
      </c>
      <c r="G373" s="21">
        <f t="shared" si="78"/>
        <v>31059.399999999998</v>
      </c>
      <c r="H373" s="21">
        <f t="shared" si="78"/>
        <v>32023.02</v>
      </c>
      <c r="I373" s="22">
        <f t="shared" si="78"/>
        <v>32099.91</v>
      </c>
      <c r="J373" s="23">
        <f t="shared" si="78"/>
        <v>36121.770000000004</v>
      </c>
      <c r="K373" s="23">
        <f t="shared" si="78"/>
        <v>34014.08</v>
      </c>
      <c r="L373" s="7">
        <f t="shared" si="78"/>
        <v>3415.5</v>
      </c>
      <c r="M373" s="7">
        <f aca="true" t="shared" si="79" ref="M373:R373">SUM(M367:M372)</f>
        <v>2514</v>
      </c>
      <c r="N373" s="7">
        <f t="shared" si="79"/>
        <v>3013</v>
      </c>
      <c r="O373" s="7">
        <f t="shared" si="79"/>
        <v>3013</v>
      </c>
      <c r="P373" s="7">
        <f t="shared" si="79"/>
        <v>3013</v>
      </c>
      <c r="Q373" s="7">
        <f t="shared" si="79"/>
        <v>3014</v>
      </c>
      <c r="R373" s="7">
        <f t="shared" si="79"/>
        <v>0</v>
      </c>
    </row>
    <row r="374" ht="13.5" customHeight="1">
      <c r="I374" s="10"/>
    </row>
    <row r="375" spans="1:18" ht="12.75">
      <c r="A375" s="3" t="s">
        <v>2883</v>
      </c>
      <c r="B375" s="11" t="s">
        <v>2884</v>
      </c>
      <c r="C375" s="36" t="s">
        <v>3223</v>
      </c>
      <c r="E375" s="3" t="s">
        <v>2885</v>
      </c>
      <c r="F375" s="19">
        <v>0</v>
      </c>
      <c r="G375" s="19">
        <v>0</v>
      </c>
      <c r="H375" s="19">
        <v>0</v>
      </c>
      <c r="I375" s="10">
        <v>0</v>
      </c>
      <c r="J375" s="9">
        <v>0</v>
      </c>
      <c r="K375" s="10">
        <v>0</v>
      </c>
      <c r="L375" s="9">
        <v>0</v>
      </c>
      <c r="M375" s="9">
        <v>0</v>
      </c>
      <c r="N375" s="9">
        <v>0</v>
      </c>
      <c r="O375" s="9">
        <v>0</v>
      </c>
      <c r="P375" s="9">
        <v>645</v>
      </c>
      <c r="Q375" s="9">
        <v>1000</v>
      </c>
      <c r="R375" s="9">
        <v>0</v>
      </c>
    </row>
    <row r="376" spans="1:17" ht="12.75">
      <c r="A376" s="3" t="s">
        <v>2886</v>
      </c>
      <c r="B376" s="11" t="s">
        <v>2887</v>
      </c>
      <c r="C376" s="36">
        <v>530000</v>
      </c>
      <c r="E376" s="3" t="s">
        <v>2888</v>
      </c>
      <c r="F376" s="19">
        <v>13629</v>
      </c>
      <c r="G376" s="19">
        <v>15986.32</v>
      </c>
      <c r="H376" s="19">
        <v>18000</v>
      </c>
      <c r="I376" s="10">
        <v>18411.81</v>
      </c>
      <c r="J376" s="9">
        <v>18000</v>
      </c>
      <c r="K376" s="10">
        <v>14145.58</v>
      </c>
      <c r="L376" s="9">
        <v>18139.61</v>
      </c>
      <c r="M376" s="9">
        <v>26165.19</v>
      </c>
      <c r="N376" s="9">
        <v>33913</v>
      </c>
      <c r="O376" s="9">
        <v>36000</v>
      </c>
      <c r="P376" s="9">
        <v>36000</v>
      </c>
      <c r="Q376" s="9">
        <v>36000</v>
      </c>
    </row>
    <row r="377" spans="1:17" ht="12.75">
      <c r="A377" s="3" t="s">
        <v>2889</v>
      </c>
      <c r="B377" s="11" t="s">
        <v>2890</v>
      </c>
      <c r="C377" s="36">
        <v>534700</v>
      </c>
      <c r="E377" s="3" t="s">
        <v>2193</v>
      </c>
      <c r="F377" s="19">
        <v>0</v>
      </c>
      <c r="G377" s="19">
        <v>3365.67</v>
      </c>
      <c r="H377" s="19">
        <v>0</v>
      </c>
      <c r="I377" s="10">
        <v>3349.68</v>
      </c>
      <c r="J377" s="9">
        <v>0</v>
      </c>
      <c r="K377" s="10">
        <v>3396.25</v>
      </c>
      <c r="L377" s="9">
        <v>0</v>
      </c>
      <c r="M377" s="9">
        <v>2183</v>
      </c>
      <c r="N377" s="9">
        <v>2998.64</v>
      </c>
      <c r="O377" s="9">
        <v>3000</v>
      </c>
      <c r="P377" s="9">
        <v>2355</v>
      </c>
      <c r="Q377" s="9">
        <v>3000</v>
      </c>
    </row>
    <row r="378" spans="5:18" ht="12.75">
      <c r="E378" s="20" t="s">
        <v>2274</v>
      </c>
      <c r="F378" s="21">
        <f aca="true" t="shared" si="80" ref="F378:R378">SUM(F375:F377)</f>
        <v>13629</v>
      </c>
      <c r="G378" s="21">
        <f t="shared" si="80"/>
        <v>19351.989999999998</v>
      </c>
      <c r="H378" s="21">
        <f t="shared" si="80"/>
        <v>18000</v>
      </c>
      <c r="I378" s="22">
        <f t="shared" si="80"/>
        <v>21761.49</v>
      </c>
      <c r="J378" s="23">
        <f t="shared" si="80"/>
        <v>18000</v>
      </c>
      <c r="K378" s="23">
        <f t="shared" si="80"/>
        <v>17541.83</v>
      </c>
      <c r="L378" s="7">
        <f t="shared" si="80"/>
        <v>18139.61</v>
      </c>
      <c r="M378" s="7">
        <f t="shared" si="80"/>
        <v>28348.19</v>
      </c>
      <c r="N378" s="7">
        <f t="shared" si="80"/>
        <v>36911.64</v>
      </c>
      <c r="O378" s="7">
        <f t="shared" si="80"/>
        <v>39000</v>
      </c>
      <c r="P378" s="7">
        <f t="shared" si="80"/>
        <v>39000</v>
      </c>
      <c r="Q378" s="7">
        <f t="shared" si="80"/>
        <v>40000</v>
      </c>
      <c r="R378" s="7">
        <f t="shared" si="80"/>
        <v>0</v>
      </c>
    </row>
    <row r="379" ht="6" customHeight="1">
      <c r="I379" s="10"/>
    </row>
    <row r="380" spans="1:18" ht="12.75" hidden="1">
      <c r="A380" s="3" t="s">
        <v>2891</v>
      </c>
      <c r="B380" s="11" t="s">
        <v>2892</v>
      </c>
      <c r="E380" s="3" t="s">
        <v>2335</v>
      </c>
      <c r="F380" s="19">
        <v>400</v>
      </c>
      <c r="G380" s="19">
        <v>328.25</v>
      </c>
      <c r="H380" s="19">
        <v>455.08</v>
      </c>
      <c r="I380" s="10">
        <v>27.5</v>
      </c>
      <c r="J380" s="9">
        <v>451.94</v>
      </c>
      <c r="K380" s="10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</row>
    <row r="381" spans="5:18" ht="12.75" hidden="1">
      <c r="E381" s="20" t="s">
        <v>2202</v>
      </c>
      <c r="F381" s="25">
        <f aca="true" t="shared" si="81" ref="F381:L381">SUM(F380)</f>
        <v>400</v>
      </c>
      <c r="G381" s="25">
        <f t="shared" si="81"/>
        <v>328.25</v>
      </c>
      <c r="H381" s="25">
        <f t="shared" si="81"/>
        <v>455.08</v>
      </c>
      <c r="I381" s="23">
        <f t="shared" si="81"/>
        <v>27.5</v>
      </c>
      <c r="J381" s="23">
        <f t="shared" si="81"/>
        <v>451.94</v>
      </c>
      <c r="K381" s="23">
        <f t="shared" si="81"/>
        <v>0</v>
      </c>
      <c r="L381" s="7">
        <f t="shared" si="81"/>
        <v>0</v>
      </c>
      <c r="M381" s="7">
        <f aca="true" t="shared" si="82" ref="M381:R381">SUM(M380)</f>
        <v>0</v>
      </c>
      <c r="N381" s="7">
        <f t="shared" si="82"/>
        <v>0</v>
      </c>
      <c r="O381" s="7">
        <f t="shared" si="82"/>
        <v>0</v>
      </c>
      <c r="P381" s="7">
        <f t="shared" si="82"/>
        <v>0</v>
      </c>
      <c r="Q381" s="7">
        <f t="shared" si="82"/>
        <v>0</v>
      </c>
      <c r="R381" s="7">
        <f t="shared" si="82"/>
        <v>0</v>
      </c>
    </row>
    <row r="382" ht="6" customHeight="1" hidden="1">
      <c r="I382" s="10"/>
    </row>
    <row r="383" spans="1:18" ht="12.75" hidden="1">
      <c r="A383" s="3" t="s">
        <v>2893</v>
      </c>
      <c r="B383" s="11">
        <v>5420</v>
      </c>
      <c r="E383" s="3" t="s">
        <v>2894</v>
      </c>
      <c r="F383" s="19">
        <v>0</v>
      </c>
      <c r="G383" s="19">
        <v>8950</v>
      </c>
      <c r="H383" s="19">
        <v>0</v>
      </c>
      <c r="I383" s="10">
        <v>0</v>
      </c>
      <c r="J383" s="9">
        <v>0</v>
      </c>
      <c r="K383" s="10">
        <v>0</v>
      </c>
      <c r="L383" s="9">
        <v>0</v>
      </c>
      <c r="M383" s="9">
        <v>0</v>
      </c>
      <c r="N383" s="9">
        <v>0</v>
      </c>
      <c r="O383" s="9">
        <v>0</v>
      </c>
      <c r="P383" s="9">
        <v>0</v>
      </c>
      <c r="Q383" s="9">
        <v>0</v>
      </c>
      <c r="R383" s="9">
        <v>0</v>
      </c>
    </row>
    <row r="384" spans="2:18" ht="12.75" hidden="1">
      <c r="B384" s="11">
        <v>5421</v>
      </c>
      <c r="E384" s="3" t="s">
        <v>2869</v>
      </c>
      <c r="F384" s="19">
        <v>0</v>
      </c>
      <c r="G384" s="19">
        <v>0</v>
      </c>
      <c r="H384" s="19">
        <v>0</v>
      </c>
      <c r="I384" s="10">
        <v>0</v>
      </c>
      <c r="J384" s="9">
        <v>0</v>
      </c>
      <c r="K384" s="10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</row>
    <row r="385" spans="5:18" ht="12.75" hidden="1">
      <c r="E385" s="20" t="s">
        <v>2895</v>
      </c>
      <c r="F385" s="5">
        <f aca="true" t="shared" si="83" ref="F385:L385">SUM(F383:F384)</f>
        <v>0</v>
      </c>
      <c r="G385" s="5">
        <f t="shared" si="83"/>
        <v>8950</v>
      </c>
      <c r="H385" s="5">
        <f t="shared" si="83"/>
        <v>0</v>
      </c>
      <c r="I385" s="6">
        <f t="shared" si="83"/>
        <v>0</v>
      </c>
      <c r="J385" s="23">
        <f t="shared" si="83"/>
        <v>0</v>
      </c>
      <c r="K385" s="23">
        <f t="shared" si="83"/>
        <v>0</v>
      </c>
      <c r="L385" s="7">
        <f t="shared" si="83"/>
        <v>0</v>
      </c>
      <c r="M385" s="7">
        <f aca="true" t="shared" si="84" ref="M385:R385">SUM(M383:M384)</f>
        <v>0</v>
      </c>
      <c r="N385" s="7">
        <f t="shared" si="84"/>
        <v>0</v>
      </c>
      <c r="O385" s="7">
        <f t="shared" si="84"/>
        <v>0</v>
      </c>
      <c r="P385" s="7">
        <f t="shared" si="84"/>
        <v>0</v>
      </c>
      <c r="Q385" s="7">
        <f t="shared" si="84"/>
        <v>0</v>
      </c>
      <c r="R385" s="7">
        <f t="shared" si="84"/>
        <v>0</v>
      </c>
    </row>
    <row r="386" ht="12.75">
      <c r="I386" s="10"/>
    </row>
    <row r="387" spans="5:18" ht="12.75">
      <c r="E387" s="2" t="s">
        <v>2896</v>
      </c>
      <c r="F387" s="31">
        <f aca="true" t="shared" si="85" ref="F387:K387">SUM(F367:F385)/2</f>
        <v>32649</v>
      </c>
      <c r="G387" s="31">
        <f t="shared" si="85"/>
        <v>59689.64</v>
      </c>
      <c r="H387" s="31">
        <f t="shared" si="85"/>
        <v>50478.100000000006</v>
      </c>
      <c r="I387" s="28">
        <f t="shared" si="85"/>
        <v>53888.9</v>
      </c>
      <c r="J387" s="28">
        <f t="shared" si="85"/>
        <v>54573.71000000001</v>
      </c>
      <c r="K387" s="28">
        <f t="shared" si="85"/>
        <v>51555.91</v>
      </c>
      <c r="L387" s="32">
        <f>SUM(L367:L385)/2</f>
        <v>21555.11</v>
      </c>
      <c r="M387" s="32">
        <f>SUM(M367:M385)/2</f>
        <v>30862.190000000002</v>
      </c>
      <c r="N387" s="32">
        <f>SUM(N378+N373)</f>
        <v>39924.64</v>
      </c>
      <c r="O387" s="32">
        <f>SUM(O378+O373)</f>
        <v>42013</v>
      </c>
      <c r="P387" s="32">
        <f>SUM(P378+P373)</f>
        <v>42013</v>
      </c>
      <c r="Q387" s="32">
        <f>SUM(Q378+Q373)</f>
        <v>43014</v>
      </c>
      <c r="R387" s="32">
        <f>SUM(R378+R373)</f>
        <v>0</v>
      </c>
    </row>
    <row r="389" spans="5:18" ht="12.75" hidden="1">
      <c r="E389" s="2"/>
      <c r="F389" s="31"/>
      <c r="G389" s="31"/>
      <c r="H389" s="31"/>
      <c r="I389" s="28"/>
      <c r="J389" s="28"/>
      <c r="K389" s="28"/>
      <c r="L389" s="32"/>
      <c r="M389" s="32"/>
      <c r="N389" s="32"/>
      <c r="O389" s="32"/>
      <c r="P389" s="32"/>
      <c r="Q389" s="32"/>
      <c r="R389" s="32"/>
    </row>
    <row r="390" spans="5:18" ht="12.75" hidden="1">
      <c r="E390" s="2"/>
      <c r="F390" s="31"/>
      <c r="G390" s="31"/>
      <c r="H390" s="31"/>
      <c r="I390" s="28"/>
      <c r="J390" s="28"/>
      <c r="K390" s="28"/>
      <c r="L390" s="32"/>
      <c r="M390" s="32"/>
      <c r="N390" s="32"/>
      <c r="O390" s="32"/>
      <c r="P390" s="32"/>
      <c r="Q390" s="32"/>
      <c r="R390" s="32"/>
    </row>
    <row r="391" ht="12.75" hidden="1"/>
    <row r="392" spans="1:5" ht="12.75">
      <c r="A392" s="3" t="s">
        <v>2180</v>
      </c>
      <c r="E392" s="163" t="s">
        <v>2901</v>
      </c>
    </row>
    <row r="393" spans="3:4" ht="12.75">
      <c r="C393" s="196">
        <v>19111</v>
      </c>
      <c r="D393" s="196"/>
    </row>
    <row r="394" spans="1:18" ht="12.75">
      <c r="A394" s="3" t="s">
        <v>2902</v>
      </c>
      <c r="B394" s="11" t="s">
        <v>2903</v>
      </c>
      <c r="C394" s="36">
        <v>518000</v>
      </c>
      <c r="E394" s="3" t="s">
        <v>2904</v>
      </c>
      <c r="F394" s="19">
        <v>1898800</v>
      </c>
      <c r="G394" s="19">
        <v>2022690</v>
      </c>
      <c r="H394" s="19">
        <v>1996290.5</v>
      </c>
      <c r="I394" s="8">
        <v>2100750</v>
      </c>
      <c r="J394" s="9">
        <v>2224581</v>
      </c>
      <c r="K394" s="10">
        <v>2429750</v>
      </c>
      <c r="L394" s="9">
        <v>2795537</v>
      </c>
      <c r="M394" s="9">
        <v>2964170</v>
      </c>
      <c r="N394" s="9">
        <v>3245486</v>
      </c>
      <c r="O394" s="9">
        <v>3475316</v>
      </c>
      <c r="P394" s="9">
        <v>3475316</v>
      </c>
      <c r="Q394" s="9">
        <v>3908600</v>
      </c>
      <c r="R394" s="9">
        <v>3908600</v>
      </c>
    </row>
    <row r="395" spans="1:18" ht="12.75">
      <c r="A395" s="3" t="s">
        <v>2905</v>
      </c>
      <c r="B395" s="11" t="s">
        <v>2906</v>
      </c>
      <c r="C395" s="36">
        <v>518100</v>
      </c>
      <c r="E395" s="3" t="s">
        <v>2907</v>
      </c>
      <c r="F395" s="19">
        <v>132093</v>
      </c>
      <c r="G395" s="19">
        <v>88990.38</v>
      </c>
      <c r="H395" s="19">
        <v>102276.71</v>
      </c>
      <c r="I395" s="8">
        <v>106149.22</v>
      </c>
      <c r="J395" s="9">
        <v>107555.52</v>
      </c>
      <c r="K395" s="10">
        <v>77641.39</v>
      </c>
      <c r="L395" s="9">
        <v>58791.1</v>
      </c>
      <c r="M395" s="9">
        <v>57031.03</v>
      </c>
      <c r="N395" s="9">
        <v>36716.24</v>
      </c>
      <c r="O395" s="9">
        <v>42000</v>
      </c>
      <c r="P395" s="9">
        <v>35000</v>
      </c>
      <c r="Q395" s="9">
        <v>20185</v>
      </c>
      <c r="R395" s="9">
        <v>20185</v>
      </c>
    </row>
    <row r="397" spans="2:19" s="38" customFormat="1" ht="12.75">
      <c r="B397" s="15"/>
      <c r="C397" s="39"/>
      <c r="D397" s="39"/>
      <c r="E397" s="2" t="s">
        <v>2908</v>
      </c>
      <c r="F397" s="31">
        <f aca="true" t="shared" si="86" ref="F397:L397">SUM(F394:F396)</f>
        <v>2030893</v>
      </c>
      <c r="G397" s="31">
        <f t="shared" si="86"/>
        <v>2111680.38</v>
      </c>
      <c r="H397" s="31">
        <f t="shared" si="86"/>
        <v>2098567.21</v>
      </c>
      <c r="I397" s="28">
        <f t="shared" si="86"/>
        <v>2206899.22</v>
      </c>
      <c r="J397" s="28">
        <f t="shared" si="86"/>
        <v>2332136.52</v>
      </c>
      <c r="K397" s="28">
        <f t="shared" si="86"/>
        <v>2507391.39</v>
      </c>
      <c r="L397" s="32">
        <f t="shared" si="86"/>
        <v>2854328.1</v>
      </c>
      <c r="M397" s="32">
        <f aca="true" t="shared" si="87" ref="M397:R397">SUM(M394:M396)</f>
        <v>3021201.03</v>
      </c>
      <c r="N397" s="32">
        <f t="shared" si="87"/>
        <v>3282202.24</v>
      </c>
      <c r="O397" s="32">
        <f t="shared" si="87"/>
        <v>3517316</v>
      </c>
      <c r="P397" s="32">
        <f t="shared" si="87"/>
        <v>3510316</v>
      </c>
      <c r="Q397" s="32">
        <f t="shared" si="87"/>
        <v>3928785</v>
      </c>
      <c r="R397" s="32">
        <f t="shared" si="87"/>
        <v>3928785</v>
      </c>
      <c r="S397" s="57"/>
    </row>
    <row r="398" spans="5:9" ht="20.25" customHeight="1">
      <c r="E398" s="2"/>
      <c r="I398" s="10"/>
    </row>
    <row r="399" spans="5:9" ht="12.75">
      <c r="E399" s="163" t="s">
        <v>2909</v>
      </c>
      <c r="I399" s="10"/>
    </row>
    <row r="400" spans="3:4" ht="12.75">
      <c r="C400" s="196">
        <v>19121</v>
      </c>
      <c r="D400" s="196"/>
    </row>
    <row r="401" spans="1:17" ht="12.75">
      <c r="A401" s="3" t="s">
        <v>2910</v>
      </c>
      <c r="B401" s="11" t="s">
        <v>2911</v>
      </c>
      <c r="C401" s="36">
        <v>517200</v>
      </c>
      <c r="E401" s="3" t="s">
        <v>2251</v>
      </c>
      <c r="F401" s="54">
        <v>-57382</v>
      </c>
      <c r="G401" s="19">
        <v>3894</v>
      </c>
      <c r="H401" s="19">
        <v>103</v>
      </c>
      <c r="I401" s="8">
        <v>-13200</v>
      </c>
      <c r="J401" s="9">
        <v>-25822</v>
      </c>
      <c r="K401" s="8">
        <v>-907.5</v>
      </c>
      <c r="L401" s="9">
        <v>4307.4</v>
      </c>
      <c r="M401" s="9">
        <v>-10459</v>
      </c>
      <c r="N401" s="9">
        <v>0</v>
      </c>
      <c r="O401" s="9">
        <v>20000</v>
      </c>
      <c r="P401" s="9">
        <v>20000</v>
      </c>
      <c r="Q401" s="9">
        <v>10000</v>
      </c>
    </row>
    <row r="402" spans="3:6" ht="12.75">
      <c r="C402" s="196">
        <v>19131</v>
      </c>
      <c r="D402" s="196"/>
      <c r="F402" s="54"/>
    </row>
    <row r="403" spans="1:17" ht="12.75">
      <c r="A403" s="3" t="s">
        <v>2912</v>
      </c>
      <c r="B403" s="11" t="s">
        <v>2913</v>
      </c>
      <c r="C403" s="36">
        <v>517300</v>
      </c>
      <c r="E403" s="3" t="s">
        <v>2914</v>
      </c>
      <c r="F403" s="19">
        <v>41464</v>
      </c>
      <c r="G403" s="19">
        <v>-33604.93</v>
      </c>
      <c r="H403" s="19">
        <v>-9948</v>
      </c>
      <c r="I403" s="8">
        <v>-18929.68</v>
      </c>
      <c r="J403" s="9">
        <v>-28136.48</v>
      </c>
      <c r="K403" s="8">
        <v>8878.02</v>
      </c>
      <c r="L403" s="9">
        <v>30620.54</v>
      </c>
      <c r="M403" s="9">
        <v>23578.39</v>
      </c>
      <c r="N403" s="9">
        <v>15656.72</v>
      </c>
      <c r="O403" s="9">
        <v>15000</v>
      </c>
      <c r="P403" s="9">
        <v>16000</v>
      </c>
      <c r="Q403" s="9">
        <v>20000</v>
      </c>
    </row>
    <row r="404" spans="3:4" ht="12.75">
      <c r="C404" s="196">
        <v>19141</v>
      </c>
      <c r="D404" s="196"/>
    </row>
    <row r="405" spans="1:17" ht="12.75">
      <c r="A405" s="3" t="s">
        <v>2915</v>
      </c>
      <c r="B405" s="11" t="s">
        <v>2916</v>
      </c>
      <c r="C405" s="36">
        <v>518200</v>
      </c>
      <c r="E405" s="3" t="s">
        <v>2917</v>
      </c>
      <c r="F405" s="19">
        <v>493619</v>
      </c>
      <c r="G405" s="19">
        <v>597751</v>
      </c>
      <c r="H405" s="19">
        <f>753364-95428</f>
        <v>657936</v>
      </c>
      <c r="I405" s="8">
        <v>806590</v>
      </c>
      <c r="J405" s="9">
        <v>1059242</v>
      </c>
      <c r="K405" s="10">
        <v>1252833</v>
      </c>
      <c r="L405" s="9">
        <f>1192336-113794.7</f>
        <v>1078541.3</v>
      </c>
      <c r="M405" s="9">
        <v>1323619</v>
      </c>
      <c r="N405" s="9">
        <v>1473210</v>
      </c>
      <c r="O405" s="9">
        <f>1640000-50000</f>
        <v>1590000</v>
      </c>
      <c r="P405" s="9">
        <v>1590000</v>
      </c>
      <c r="Q405" s="9">
        <v>1590000</v>
      </c>
    </row>
    <row r="406" spans="2:21" ht="12.75">
      <c r="B406" s="36">
        <v>5471</v>
      </c>
      <c r="C406" s="36">
        <v>518300</v>
      </c>
      <c r="E406" s="3" t="s">
        <v>2922</v>
      </c>
      <c r="F406" s="19">
        <v>0</v>
      </c>
      <c r="H406" s="19">
        <v>0</v>
      </c>
      <c r="I406" s="8">
        <v>141760</v>
      </c>
      <c r="J406" s="9">
        <v>207028.5</v>
      </c>
      <c r="K406" s="10">
        <v>0</v>
      </c>
      <c r="L406" s="9">
        <v>20000</v>
      </c>
      <c r="M406" s="9">
        <v>0</v>
      </c>
      <c r="N406" s="9">
        <v>0</v>
      </c>
      <c r="O406" s="9">
        <f>180000-50000</f>
        <v>130000</v>
      </c>
      <c r="P406" s="9">
        <v>130000</v>
      </c>
      <c r="Q406" s="9">
        <f>125000+573000</f>
        <v>698000</v>
      </c>
      <c r="U406" s="3" t="s">
        <v>2569</v>
      </c>
    </row>
    <row r="407" spans="2:11" ht="12.75">
      <c r="B407" s="36"/>
      <c r="C407" s="196">
        <v>19151</v>
      </c>
      <c r="D407" s="196"/>
      <c r="K407" s="10"/>
    </row>
    <row r="408" spans="2:17" ht="12.75">
      <c r="B408" s="36">
        <v>5472</v>
      </c>
      <c r="C408" s="36">
        <v>517900</v>
      </c>
      <c r="E408" s="3" t="s">
        <v>2219</v>
      </c>
      <c r="F408" s="19">
        <v>0</v>
      </c>
      <c r="H408" s="19">
        <v>0</v>
      </c>
      <c r="I408" s="8">
        <v>11498.6</v>
      </c>
      <c r="J408" s="9">
        <v>10357.1</v>
      </c>
      <c r="K408" s="10">
        <v>9770.6</v>
      </c>
      <c r="L408" s="9">
        <v>15480.69</v>
      </c>
      <c r="M408" s="9">
        <v>13497.72</v>
      </c>
      <c r="N408" s="9">
        <v>14290.15</v>
      </c>
      <c r="O408" s="9">
        <f>4500+7500</f>
        <v>12000</v>
      </c>
      <c r="P408" s="9">
        <v>12000</v>
      </c>
      <c r="Q408" s="9">
        <v>12000</v>
      </c>
    </row>
    <row r="409" spans="3:11" ht="12.75">
      <c r="C409" s="196">
        <v>19161</v>
      </c>
      <c r="D409" s="196"/>
      <c r="K409" s="10"/>
    </row>
    <row r="410" spans="1:17" ht="12.75">
      <c r="A410" s="3" t="s">
        <v>2918</v>
      </c>
      <c r="B410" s="11" t="s">
        <v>2919</v>
      </c>
      <c r="C410" s="36">
        <v>517800</v>
      </c>
      <c r="E410" s="3" t="s">
        <v>2920</v>
      </c>
      <c r="F410" s="19">
        <v>11541</v>
      </c>
      <c r="G410" s="19">
        <v>9683.79</v>
      </c>
      <c r="H410" s="19">
        <v>28855.22</v>
      </c>
      <c r="I410" s="8">
        <v>26336.93</v>
      </c>
      <c r="J410" s="9">
        <v>19692.33</v>
      </c>
      <c r="K410" s="10">
        <v>21364.81</v>
      </c>
      <c r="L410" s="9">
        <v>38160.04</v>
      </c>
      <c r="M410" s="9">
        <v>25426.82</v>
      </c>
      <c r="N410" s="9">
        <v>4502.76</v>
      </c>
      <c r="O410" s="9">
        <v>33000</v>
      </c>
      <c r="P410" s="9">
        <v>40000</v>
      </c>
      <c r="Q410" s="9">
        <v>40000</v>
      </c>
    </row>
    <row r="411" spans="2:18" ht="12.75" hidden="1">
      <c r="B411" s="36">
        <v>5473</v>
      </c>
      <c r="E411" s="3" t="s">
        <v>2807</v>
      </c>
      <c r="I411" s="8">
        <v>346082.54</v>
      </c>
      <c r="J411" s="9">
        <v>554682.43</v>
      </c>
      <c r="K411" s="10">
        <v>331296.21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v>0</v>
      </c>
      <c r="R411" s="9">
        <v>0</v>
      </c>
    </row>
    <row r="412" spans="5:12" ht="12.75" hidden="1">
      <c r="E412" s="3" t="s">
        <v>783</v>
      </c>
      <c r="K412" s="10">
        <v>0</v>
      </c>
      <c r="L412" s="9">
        <v>0</v>
      </c>
    </row>
    <row r="413" spans="5:18" ht="12.75">
      <c r="E413" s="20" t="s">
        <v>2187</v>
      </c>
      <c r="F413" s="25">
        <f aca="true" t="shared" si="88" ref="F413:L413">SUM(F401:F412)</f>
        <v>489242</v>
      </c>
      <c r="G413" s="25">
        <f t="shared" si="88"/>
        <v>577723.86</v>
      </c>
      <c r="H413" s="25">
        <f t="shared" si="88"/>
        <v>676946.22</v>
      </c>
      <c r="I413" s="23">
        <f t="shared" si="88"/>
        <v>1300138.39</v>
      </c>
      <c r="J413" s="23">
        <f t="shared" si="88"/>
        <v>1797043.8800000004</v>
      </c>
      <c r="K413" s="23">
        <f t="shared" si="88"/>
        <v>1623235.1400000001</v>
      </c>
      <c r="L413" s="7">
        <f t="shared" si="88"/>
        <v>1187109.97</v>
      </c>
      <c r="M413" s="7">
        <f aca="true" t="shared" si="89" ref="M413:R413">SUM(M401:M412)</f>
        <v>1375662.93</v>
      </c>
      <c r="N413" s="7">
        <f t="shared" si="89"/>
        <v>1507659.63</v>
      </c>
      <c r="O413" s="7">
        <f t="shared" si="89"/>
        <v>1800000</v>
      </c>
      <c r="P413" s="7">
        <f t="shared" si="89"/>
        <v>1808000</v>
      </c>
      <c r="Q413" s="7">
        <f t="shared" si="89"/>
        <v>2370000</v>
      </c>
      <c r="R413" s="7">
        <f t="shared" si="89"/>
        <v>0</v>
      </c>
    </row>
    <row r="414" spans="1:10" ht="12.75" hidden="1">
      <c r="A414" s="3" t="s">
        <v>2924</v>
      </c>
      <c r="B414" s="11" t="s">
        <v>2925</v>
      </c>
      <c r="E414" s="3" t="s">
        <v>2927</v>
      </c>
      <c r="F414" s="19">
        <v>30741</v>
      </c>
      <c r="G414" s="19">
        <v>0</v>
      </c>
      <c r="H414" s="19">
        <v>0</v>
      </c>
      <c r="I414" s="10">
        <v>0</v>
      </c>
      <c r="J414" s="9">
        <v>0</v>
      </c>
    </row>
    <row r="415" spans="5:18" ht="12.75" hidden="1">
      <c r="E415" s="20" t="s">
        <v>2199</v>
      </c>
      <c r="F415" s="25">
        <f aca="true" t="shared" si="90" ref="F415:L415">SUM(F414)</f>
        <v>30741</v>
      </c>
      <c r="G415" s="25">
        <f t="shared" si="90"/>
        <v>0</v>
      </c>
      <c r="H415" s="25">
        <f t="shared" si="90"/>
        <v>0</v>
      </c>
      <c r="I415" s="23">
        <f t="shared" si="90"/>
        <v>0</v>
      </c>
      <c r="J415" s="23">
        <f t="shared" si="90"/>
        <v>0</v>
      </c>
      <c r="K415" s="23">
        <f t="shared" si="90"/>
        <v>0</v>
      </c>
      <c r="L415" s="7">
        <f t="shared" si="90"/>
        <v>0</v>
      </c>
      <c r="M415" s="7">
        <f aca="true" t="shared" si="91" ref="M415:R415">SUM(M414)</f>
        <v>0</v>
      </c>
      <c r="N415" s="7">
        <f t="shared" si="91"/>
        <v>0</v>
      </c>
      <c r="O415" s="7">
        <f t="shared" si="91"/>
        <v>0</v>
      </c>
      <c r="P415" s="7">
        <f t="shared" si="91"/>
        <v>0</v>
      </c>
      <c r="Q415" s="7">
        <f t="shared" si="91"/>
        <v>0</v>
      </c>
      <c r="R415" s="7">
        <f t="shared" si="91"/>
        <v>0</v>
      </c>
    </row>
    <row r="416" spans="3:4" ht="12.75">
      <c r="C416" s="196">
        <v>19452</v>
      </c>
      <c r="D416" s="196"/>
    </row>
    <row r="417" spans="1:17" ht="12.75">
      <c r="A417" s="3" t="s">
        <v>2928</v>
      </c>
      <c r="B417" s="11" t="s">
        <v>2929</v>
      </c>
      <c r="C417" s="36">
        <v>574000</v>
      </c>
      <c r="E417" s="3" t="s">
        <v>2930</v>
      </c>
      <c r="F417" s="19">
        <v>93514</v>
      </c>
      <c r="G417" s="19">
        <v>108759.74</v>
      </c>
      <c r="H417" s="19">
        <v>102180</v>
      </c>
      <c r="I417" s="8">
        <v>140295.25</v>
      </c>
      <c r="J417" s="9">
        <v>145887.64</v>
      </c>
      <c r="K417" s="10">
        <v>174813.04</v>
      </c>
      <c r="L417" s="9">
        <v>220197.91</v>
      </c>
      <c r="M417" s="9">
        <v>261233.94</v>
      </c>
      <c r="N417" s="9">
        <v>270111.56</v>
      </c>
      <c r="O417" s="9">
        <v>312000</v>
      </c>
      <c r="P417" s="9">
        <v>265000</v>
      </c>
      <c r="Q417" s="9">
        <v>291500</v>
      </c>
    </row>
    <row r="418" spans="1:18" ht="12.75">
      <c r="A418" s="3" t="s">
        <v>2931</v>
      </c>
      <c r="E418" s="20" t="s">
        <v>2274</v>
      </c>
      <c r="F418" s="25">
        <f aca="true" t="shared" si="92" ref="F418:L418">SUM(F417:F417)</f>
        <v>93514</v>
      </c>
      <c r="G418" s="25">
        <f t="shared" si="92"/>
        <v>108759.74</v>
      </c>
      <c r="H418" s="25">
        <f t="shared" si="92"/>
        <v>102180</v>
      </c>
      <c r="I418" s="23">
        <f t="shared" si="92"/>
        <v>140295.25</v>
      </c>
      <c r="J418" s="23">
        <f t="shared" si="92"/>
        <v>145887.64</v>
      </c>
      <c r="K418" s="23">
        <f t="shared" si="92"/>
        <v>174813.04</v>
      </c>
      <c r="L418" s="7">
        <f t="shared" si="92"/>
        <v>220197.91</v>
      </c>
      <c r="M418" s="7">
        <f aca="true" t="shared" si="93" ref="M418:R418">SUM(M417:M417)</f>
        <v>261233.94</v>
      </c>
      <c r="N418" s="7">
        <f t="shared" si="93"/>
        <v>270111.56</v>
      </c>
      <c r="O418" s="7">
        <f t="shared" si="93"/>
        <v>312000</v>
      </c>
      <c r="P418" s="7">
        <f t="shared" si="93"/>
        <v>265000</v>
      </c>
      <c r="Q418" s="7">
        <f t="shared" si="93"/>
        <v>291500</v>
      </c>
      <c r="R418" s="7">
        <f t="shared" si="93"/>
        <v>0</v>
      </c>
    </row>
    <row r="419" spans="9:10" ht="12.75">
      <c r="I419" s="23"/>
      <c r="J419" s="7"/>
    </row>
    <row r="420" spans="5:18" ht="12.75">
      <c r="E420" s="2" t="s">
        <v>2932</v>
      </c>
      <c r="F420" s="31">
        <f aca="true" t="shared" si="94" ref="F420:L420">SUM(F401:F418)/2</f>
        <v>613497</v>
      </c>
      <c r="G420" s="31">
        <f t="shared" si="94"/>
        <v>686483.6</v>
      </c>
      <c r="H420" s="31">
        <f t="shared" si="94"/>
        <v>779126.22</v>
      </c>
      <c r="I420" s="28">
        <f t="shared" si="94"/>
        <v>1440433.64</v>
      </c>
      <c r="J420" s="28">
        <f t="shared" si="94"/>
        <v>1942931.5200000005</v>
      </c>
      <c r="K420" s="28">
        <f t="shared" si="94"/>
        <v>1798048.1800000002</v>
      </c>
      <c r="L420" s="32">
        <f t="shared" si="94"/>
        <v>1407307.8800000001</v>
      </c>
      <c r="M420" s="32">
        <f>SUM(M401:M418)/2</f>
        <v>1636896.8699999999</v>
      </c>
      <c r="N420" s="32">
        <f>SUM(N418+N413)</f>
        <v>1777771.19</v>
      </c>
      <c r="O420" s="32">
        <f>SUM(O418+O413)</f>
        <v>2112000</v>
      </c>
      <c r="P420" s="32">
        <f>SUM(P418+P413)</f>
        <v>2073000</v>
      </c>
      <c r="Q420" s="32">
        <f>SUM(Q418+Q413)</f>
        <v>2661500</v>
      </c>
      <c r="R420" s="32">
        <f>SUM(R418+R413)</f>
        <v>0</v>
      </c>
    </row>
    <row r="421" spans="2:5" ht="12.75">
      <c r="B421" s="36" t="s">
        <v>2180</v>
      </c>
      <c r="E421" s="3" t="s">
        <v>2180</v>
      </c>
    </row>
    <row r="422" spans="5:18" ht="12.75">
      <c r="E422" s="55" t="s">
        <v>2933</v>
      </c>
      <c r="F422" s="7" t="e">
        <f>F18+F52+F87+F110+F123+F147+F186+F193+F258+F294+F327+F364+F387+#REF!+F397+F420</f>
        <v>#REF!</v>
      </c>
      <c r="G422" s="7" t="e">
        <f>G18+G52+G87+G110+G123+G147+G186+G193+G258+G294+G327+G364+G387+#REF!+G397+G420</f>
        <v>#REF!</v>
      </c>
      <c r="H422" s="7" t="e">
        <f>H18+H52+H87+H110+H123+H147+H186+H193+H258+H294+H327+H364+H387+#REF!+H397+H420</f>
        <v>#REF!</v>
      </c>
      <c r="I422" s="7" t="e">
        <f>I18+I52+I87+I110+I123+I147+I186+I193+I258+I294+I327+I364+I387+#REF!+I397+I420</f>
        <v>#REF!</v>
      </c>
      <c r="J422" s="7" t="e">
        <f>J18+J52+J87+J110+J123+J147+J186+J193+J258+J294+J327+J364+J387+#REF!+J397+J420</f>
        <v>#REF!</v>
      </c>
      <c r="K422" s="7" t="e">
        <f>K18+K52+K87+K110+K123+K147+K186+K193+K220+K258+K294+K327+K364+K387+#REF!+K397+K420</f>
        <v>#REF!</v>
      </c>
      <c r="L422" s="7">
        <f aca="true" t="shared" si="95" ref="L422:Q422">L18+L52+L87+L110+L123+L147+L186+L193+L220+L258+L294+L327+L364+L387+L299+L397+L420</f>
        <v>6841238.51</v>
      </c>
      <c r="M422" s="7">
        <f t="shared" si="95"/>
        <v>7017856.79</v>
      </c>
      <c r="N422" s="7">
        <f t="shared" si="95"/>
        <v>7578058.289999999</v>
      </c>
      <c r="O422" s="7">
        <f t="shared" si="95"/>
        <v>8858914</v>
      </c>
      <c r="P422" s="7">
        <f t="shared" si="95"/>
        <v>8376824</v>
      </c>
      <c r="Q422" s="7">
        <f t="shared" si="95"/>
        <v>10011799</v>
      </c>
      <c r="R422" s="7" t="e">
        <f>R18+R52+R87+R110+R123+R147+R186+R193+R220+R258+R294+R327+R364+R387+#REF!+R397+R420</f>
        <v>#REF!</v>
      </c>
    </row>
    <row r="423" spans="5:18" ht="12.75">
      <c r="E423" s="55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</row>
    <row r="424" spans="5:18" ht="12.75">
      <c r="E424" s="55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</row>
    <row r="425" spans="2:10" ht="12.75">
      <c r="B425" s="101" t="s">
        <v>2002</v>
      </c>
      <c r="C425" s="198"/>
      <c r="D425" s="198"/>
      <c r="J425" s="10"/>
    </row>
    <row r="426" ht="12.75">
      <c r="E426" s="38" t="s">
        <v>2823</v>
      </c>
    </row>
    <row r="427" spans="2:17" ht="12.75">
      <c r="B427" s="11" t="s">
        <v>2824</v>
      </c>
      <c r="E427" s="3" t="s">
        <v>2291</v>
      </c>
      <c r="F427" s="19">
        <v>306211</v>
      </c>
      <c r="G427" s="37">
        <v>145249</v>
      </c>
      <c r="H427" s="37">
        <v>145249</v>
      </c>
      <c r="I427" s="8">
        <v>145249</v>
      </c>
      <c r="J427" s="8">
        <v>145249</v>
      </c>
      <c r="K427" s="8">
        <v>145249</v>
      </c>
      <c r="L427" s="9">
        <v>190029</v>
      </c>
      <c r="M427" s="9">
        <v>215634</v>
      </c>
      <c r="N427" s="9">
        <v>223846</v>
      </c>
      <c r="O427" s="9">
        <v>232104</v>
      </c>
      <c r="Q427" s="9">
        <v>256000</v>
      </c>
    </row>
    <row r="428" spans="2:17" ht="12.75">
      <c r="B428" s="11" t="s">
        <v>2824</v>
      </c>
      <c r="E428" s="3" t="s">
        <v>2934</v>
      </c>
      <c r="F428" s="19">
        <v>37500</v>
      </c>
      <c r="G428" s="19">
        <v>58870</v>
      </c>
      <c r="H428" s="19">
        <v>50000</v>
      </c>
      <c r="I428" s="8">
        <v>50000</v>
      </c>
      <c r="J428" s="9">
        <v>50000</v>
      </c>
      <c r="K428" s="8">
        <v>50000</v>
      </c>
      <c r="L428" s="9">
        <v>50000</v>
      </c>
      <c r="M428" s="9">
        <v>75000</v>
      </c>
      <c r="N428" s="9">
        <v>75000</v>
      </c>
      <c r="O428" s="9">
        <v>25000</v>
      </c>
      <c r="Q428" s="9">
        <v>20000</v>
      </c>
    </row>
    <row r="429" spans="2:17" ht="12.75">
      <c r="B429" s="11" t="s">
        <v>2824</v>
      </c>
      <c r="E429" s="3" t="s">
        <v>2222</v>
      </c>
      <c r="F429" s="19">
        <v>3573561</v>
      </c>
      <c r="G429" s="19">
        <v>3791450</v>
      </c>
      <c r="H429" s="19">
        <v>4296542</v>
      </c>
      <c r="I429" s="8">
        <f>4339140+247270</f>
        <v>4586410</v>
      </c>
      <c r="J429" s="9">
        <v>5343773</v>
      </c>
      <c r="K429" s="8">
        <v>6441309</v>
      </c>
      <c r="L429" s="9">
        <v>7429397</v>
      </c>
      <c r="M429" s="9">
        <v>8737111</v>
      </c>
      <c r="N429" s="9">
        <v>9331424</v>
      </c>
      <c r="O429" s="9">
        <v>10226189</v>
      </c>
      <c r="Q429" s="9">
        <v>10737136</v>
      </c>
    </row>
    <row r="430" spans="2:17" ht="12.75">
      <c r="B430" s="11" t="s">
        <v>2824</v>
      </c>
      <c r="E430" s="3" t="s">
        <v>2298</v>
      </c>
      <c r="F430" s="19">
        <v>192094</v>
      </c>
      <c r="G430" s="19">
        <v>205115</v>
      </c>
      <c r="H430" s="19">
        <v>221758</v>
      </c>
      <c r="I430" s="8">
        <v>247270</v>
      </c>
      <c r="J430" s="9">
        <v>303790</v>
      </c>
      <c r="K430" s="8">
        <f>287320+30000</f>
        <v>317320</v>
      </c>
      <c r="L430" s="9">
        <v>327814</v>
      </c>
      <c r="M430" s="9">
        <v>352572</v>
      </c>
      <c r="N430" s="9">
        <v>378366</v>
      </c>
      <c r="O430" s="9">
        <v>419046</v>
      </c>
      <c r="Q430" s="9">
        <v>514909</v>
      </c>
    </row>
    <row r="431" ht="12.75">
      <c r="E431" s="34"/>
    </row>
    <row r="432" spans="1:5" ht="14.25" customHeight="1">
      <c r="A432" s="3" t="s">
        <v>2180</v>
      </c>
      <c r="E432" s="163" t="s">
        <v>2935</v>
      </c>
    </row>
    <row r="433" spans="3:5" ht="12.75">
      <c r="C433" s="196">
        <v>12111</v>
      </c>
      <c r="D433" s="196"/>
      <c r="E433" s="2"/>
    </row>
    <row r="434" spans="1:17" ht="12.75">
      <c r="A434" s="3" t="s">
        <v>2936</v>
      </c>
      <c r="B434" s="11" t="s">
        <v>2937</v>
      </c>
      <c r="C434" s="36">
        <v>511000</v>
      </c>
      <c r="E434" s="3" t="s">
        <v>2363</v>
      </c>
      <c r="F434" s="19">
        <v>208968</v>
      </c>
      <c r="G434" s="19">
        <v>220079.55</v>
      </c>
      <c r="H434" s="19">
        <v>229928.71</v>
      </c>
      <c r="I434" s="8">
        <v>236563.5</v>
      </c>
      <c r="J434" s="8">
        <v>245733.33</v>
      </c>
      <c r="K434" s="8">
        <v>293874.79</v>
      </c>
      <c r="L434" s="9">
        <v>172023.06</v>
      </c>
      <c r="M434" s="9">
        <v>235130.72</v>
      </c>
      <c r="N434" s="9">
        <v>281931.96</v>
      </c>
      <c r="O434" s="9">
        <v>266995</v>
      </c>
      <c r="P434" s="9">
        <v>266995</v>
      </c>
      <c r="Q434" s="9">
        <v>262350</v>
      </c>
    </row>
    <row r="435" spans="1:10" ht="12.75" hidden="1">
      <c r="A435" s="3" t="s">
        <v>2939</v>
      </c>
      <c r="B435" s="11" t="s">
        <v>2940</v>
      </c>
      <c r="E435" s="3" t="s">
        <v>2941</v>
      </c>
      <c r="F435" s="37"/>
      <c r="G435" s="37">
        <v>0</v>
      </c>
      <c r="H435" s="37"/>
      <c r="J435" s="8">
        <v>0</v>
      </c>
    </row>
    <row r="436" spans="1:17" ht="12.75">
      <c r="A436" s="3" t="s">
        <v>2945</v>
      </c>
      <c r="B436" s="11" t="s">
        <v>2946</v>
      </c>
      <c r="C436" s="36">
        <v>514800</v>
      </c>
      <c r="E436" s="3" t="s">
        <v>2288</v>
      </c>
      <c r="F436" s="19">
        <v>275</v>
      </c>
      <c r="G436" s="19">
        <v>275</v>
      </c>
      <c r="H436" s="19">
        <v>275</v>
      </c>
      <c r="I436" s="8">
        <v>275</v>
      </c>
      <c r="J436" s="8">
        <v>275</v>
      </c>
      <c r="K436" s="8">
        <v>23768</v>
      </c>
      <c r="L436" s="9">
        <v>7946.99</v>
      </c>
      <c r="M436" s="9">
        <v>12054.39</v>
      </c>
      <c r="N436" s="9">
        <v>14751.99</v>
      </c>
      <c r="O436" s="9">
        <v>8861</v>
      </c>
      <c r="P436" s="9">
        <v>8861</v>
      </c>
      <c r="Q436" s="9">
        <v>8911</v>
      </c>
    </row>
    <row r="437" spans="1:17" ht="12.75">
      <c r="A437" s="3" t="s">
        <v>2942</v>
      </c>
      <c r="B437" s="11" t="s">
        <v>2943</v>
      </c>
      <c r="C437" s="36">
        <v>514900</v>
      </c>
      <c r="E437" s="3" t="s">
        <v>2944</v>
      </c>
      <c r="F437" s="19">
        <v>7465</v>
      </c>
      <c r="G437" s="19">
        <v>7961.67</v>
      </c>
      <c r="H437" s="19">
        <v>8453.86</v>
      </c>
      <c r="I437" s="8">
        <v>8667.88</v>
      </c>
      <c r="J437" s="8">
        <v>8994.26</v>
      </c>
      <c r="K437" s="8">
        <v>6693.19</v>
      </c>
      <c r="L437" s="9">
        <v>4642.36</v>
      </c>
      <c r="M437" s="9">
        <v>8266.73</v>
      </c>
      <c r="N437" s="9">
        <v>8734.98</v>
      </c>
      <c r="O437" s="9">
        <v>9447</v>
      </c>
      <c r="P437" s="9">
        <v>9447</v>
      </c>
      <c r="Q437" s="9">
        <v>9545</v>
      </c>
    </row>
    <row r="438" spans="1:17" ht="12.75">
      <c r="A438" s="3" t="s">
        <v>2951</v>
      </c>
      <c r="B438" s="11" t="s">
        <v>2952</v>
      </c>
      <c r="C438" s="36">
        <v>517000</v>
      </c>
      <c r="E438" s="3" t="s">
        <v>2222</v>
      </c>
      <c r="F438" s="19">
        <v>13887</v>
      </c>
      <c r="G438" s="19">
        <v>14048</v>
      </c>
      <c r="H438" s="19">
        <v>15917</v>
      </c>
      <c r="I438" s="8">
        <v>22595</v>
      </c>
      <c r="J438" s="8">
        <v>29996</v>
      </c>
      <c r="K438" s="8">
        <v>35677</v>
      </c>
      <c r="L438" s="9">
        <v>22402</v>
      </c>
      <c r="M438" s="9">
        <v>21979.18</v>
      </c>
      <c r="N438" s="9">
        <v>17765</v>
      </c>
      <c r="O438" s="9">
        <v>29283</v>
      </c>
      <c r="P438" s="9">
        <v>29283</v>
      </c>
      <c r="Q438" s="9">
        <v>15633</v>
      </c>
    </row>
    <row r="439" spans="1:12" ht="12.75" hidden="1">
      <c r="A439" s="3" t="s">
        <v>2949</v>
      </c>
      <c r="B439" s="11" t="s">
        <v>2950</v>
      </c>
      <c r="E439" s="3" t="s">
        <v>2219</v>
      </c>
      <c r="F439" s="19">
        <v>72</v>
      </c>
      <c r="G439" s="19">
        <v>72</v>
      </c>
      <c r="H439" s="19">
        <v>72</v>
      </c>
      <c r="I439" s="8">
        <v>0</v>
      </c>
      <c r="J439" s="8">
        <v>0</v>
      </c>
      <c r="K439" s="8">
        <v>0</v>
      </c>
      <c r="L439" s="9">
        <v>0</v>
      </c>
    </row>
    <row r="440" spans="1:17" ht="12.75">
      <c r="A440" s="3" t="s">
        <v>2947</v>
      </c>
      <c r="B440" s="11" t="s">
        <v>2948</v>
      </c>
      <c r="C440" s="36">
        <v>517200</v>
      </c>
      <c r="E440" s="3" t="s">
        <v>2216</v>
      </c>
      <c r="F440" s="19">
        <v>78</v>
      </c>
      <c r="G440" s="19">
        <v>59</v>
      </c>
      <c r="H440" s="19">
        <v>59</v>
      </c>
      <c r="I440" s="8">
        <v>59</v>
      </c>
      <c r="J440" s="8">
        <v>59</v>
      </c>
      <c r="K440" s="8">
        <v>59</v>
      </c>
      <c r="L440" s="9">
        <v>59</v>
      </c>
      <c r="M440" s="9">
        <v>164</v>
      </c>
      <c r="N440" s="9">
        <v>157</v>
      </c>
      <c r="O440" s="9">
        <v>96</v>
      </c>
      <c r="P440" s="9">
        <v>96</v>
      </c>
      <c r="Q440" s="9">
        <v>101</v>
      </c>
    </row>
    <row r="441" spans="1:17" ht="12.75">
      <c r="A441" s="3" t="s">
        <v>2953</v>
      </c>
      <c r="B441" s="11" t="s">
        <v>2954</v>
      </c>
      <c r="C441" s="36">
        <v>517800</v>
      </c>
      <c r="E441" s="3" t="s">
        <v>2298</v>
      </c>
      <c r="F441" s="19">
        <v>382</v>
      </c>
      <c r="G441" s="19">
        <v>382</v>
      </c>
      <c r="H441" s="19">
        <v>424</v>
      </c>
      <c r="I441" s="8">
        <v>440</v>
      </c>
      <c r="J441" s="8">
        <v>430</v>
      </c>
      <c r="K441" s="8">
        <v>440</v>
      </c>
      <c r="L441" s="9">
        <v>440</v>
      </c>
      <c r="M441" s="9">
        <v>440</v>
      </c>
      <c r="N441" s="9">
        <v>460</v>
      </c>
      <c r="O441" s="9">
        <v>460</v>
      </c>
      <c r="P441" s="9">
        <v>460</v>
      </c>
      <c r="Q441" s="9">
        <v>591</v>
      </c>
    </row>
    <row r="442" spans="1:17" ht="12.75">
      <c r="A442" s="3" t="s">
        <v>2955</v>
      </c>
      <c r="B442" s="11" t="s">
        <v>2956</v>
      </c>
      <c r="C442" s="36">
        <v>519900</v>
      </c>
      <c r="E442" s="3" t="s">
        <v>2957</v>
      </c>
      <c r="F442" s="19">
        <v>1950</v>
      </c>
      <c r="G442" s="19">
        <v>1950</v>
      </c>
      <c r="H442" s="19">
        <v>1950</v>
      </c>
      <c r="I442" s="8">
        <v>2683.48</v>
      </c>
      <c r="J442" s="8">
        <v>3201.76</v>
      </c>
      <c r="K442" s="8">
        <v>3318.96</v>
      </c>
      <c r="L442" s="9">
        <v>2360.92</v>
      </c>
      <c r="M442" s="9">
        <v>4243.12</v>
      </c>
      <c r="N442" s="9">
        <v>4462.24</v>
      </c>
      <c r="O442" s="9">
        <v>5033</v>
      </c>
      <c r="P442" s="9">
        <v>5033</v>
      </c>
      <c r="Q442" s="9">
        <v>2526</v>
      </c>
    </row>
    <row r="443" spans="5:18" ht="12.75" customHeight="1">
      <c r="E443" s="20" t="s">
        <v>2187</v>
      </c>
      <c r="F443" s="21">
        <f aca="true" t="shared" si="96" ref="F443:L443">SUM(F434:F442)</f>
        <v>233077</v>
      </c>
      <c r="G443" s="21">
        <f t="shared" si="96"/>
        <v>244827.22</v>
      </c>
      <c r="H443" s="21">
        <f t="shared" si="96"/>
        <v>257079.57</v>
      </c>
      <c r="I443" s="23">
        <f t="shared" si="96"/>
        <v>271283.86</v>
      </c>
      <c r="J443" s="23">
        <f t="shared" si="96"/>
        <v>288689.35</v>
      </c>
      <c r="K443" s="23">
        <f t="shared" si="96"/>
        <v>363830.94</v>
      </c>
      <c r="L443" s="7">
        <f t="shared" si="96"/>
        <v>209874.33</v>
      </c>
      <c r="M443" s="7">
        <f aca="true" t="shared" si="97" ref="M443:R443">SUM(M434:M442)</f>
        <v>282278.14</v>
      </c>
      <c r="N443" s="7">
        <f t="shared" si="97"/>
        <v>328263.17</v>
      </c>
      <c r="O443" s="7">
        <f t="shared" si="97"/>
        <v>320175</v>
      </c>
      <c r="P443" s="7">
        <f t="shared" si="97"/>
        <v>320175</v>
      </c>
      <c r="Q443" s="7">
        <f t="shared" si="97"/>
        <v>299657</v>
      </c>
      <c r="R443" s="7">
        <f t="shared" si="97"/>
        <v>0</v>
      </c>
    </row>
    <row r="444" spans="3:4" ht="12.75">
      <c r="C444" s="196">
        <v>12112</v>
      </c>
      <c r="D444" s="196"/>
    </row>
    <row r="445" spans="1:18" ht="12.75" hidden="1">
      <c r="A445" s="3" t="s">
        <v>2958</v>
      </c>
      <c r="B445" s="11" t="s">
        <v>2959</v>
      </c>
      <c r="E445" s="3" t="s">
        <v>2960</v>
      </c>
      <c r="F445" s="19">
        <v>17282</v>
      </c>
      <c r="G445" s="19">
        <v>17217.71</v>
      </c>
      <c r="H445" s="19">
        <v>19176.41</v>
      </c>
      <c r="I445" s="8">
        <v>19471.24</v>
      </c>
      <c r="J445" s="8">
        <v>9475.98</v>
      </c>
      <c r="K445" s="8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</row>
    <row r="446" spans="1:18" ht="12.75" hidden="1">
      <c r="A446" s="3" t="s">
        <v>2961</v>
      </c>
      <c r="B446" s="11" t="s">
        <v>2962</v>
      </c>
      <c r="E446" s="3" t="s">
        <v>2963</v>
      </c>
      <c r="F446" s="19">
        <v>240</v>
      </c>
      <c r="G446" s="19">
        <v>191.9</v>
      </c>
      <c r="H446" s="19">
        <v>490.95</v>
      </c>
      <c r="I446" s="8">
        <v>625.3</v>
      </c>
      <c r="J446" s="8">
        <v>325.26</v>
      </c>
      <c r="K446" s="8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</row>
    <row r="447" spans="1:17" ht="12.75">
      <c r="A447" s="3" t="s">
        <v>2967</v>
      </c>
      <c r="B447" s="11" t="s">
        <v>2968</v>
      </c>
      <c r="C447" s="36">
        <v>524400</v>
      </c>
      <c r="E447" s="3" t="s">
        <v>1288</v>
      </c>
      <c r="F447" s="19">
        <v>2207</v>
      </c>
      <c r="G447" s="19">
        <v>2215.19</v>
      </c>
      <c r="H447" s="19">
        <v>2714.4</v>
      </c>
      <c r="I447" s="8">
        <v>2708.46</v>
      </c>
      <c r="J447" s="8">
        <v>2560.95</v>
      </c>
      <c r="K447" s="8">
        <v>2704.8</v>
      </c>
      <c r="L447" s="9">
        <v>2073.81</v>
      </c>
      <c r="M447" s="9">
        <v>2657.11</v>
      </c>
      <c r="N447" s="9">
        <v>2699.78</v>
      </c>
      <c r="O447" s="9">
        <v>2719</v>
      </c>
      <c r="P447" s="9">
        <v>2719</v>
      </c>
      <c r="Q447" s="9">
        <v>2719</v>
      </c>
    </row>
    <row r="448" spans="5:17" ht="12.75">
      <c r="E448" s="3" t="s">
        <v>657</v>
      </c>
      <c r="J448" s="8"/>
      <c r="Q448" s="9">
        <v>1500</v>
      </c>
    </row>
    <row r="449" spans="1:17" ht="12.75">
      <c r="A449" s="3" t="s">
        <v>2969</v>
      </c>
      <c r="B449" s="11" t="s">
        <v>2970</v>
      </c>
      <c r="C449" s="36">
        <v>524500</v>
      </c>
      <c r="E449" s="3" t="s">
        <v>2971</v>
      </c>
      <c r="F449" s="19">
        <v>2008</v>
      </c>
      <c r="G449" s="19">
        <v>2236.72</v>
      </c>
      <c r="H449" s="19">
        <v>2351.33</v>
      </c>
      <c r="I449" s="8">
        <v>2850.84</v>
      </c>
      <c r="J449" s="8">
        <v>2802.02</v>
      </c>
      <c r="K449" s="8">
        <v>2846.78</v>
      </c>
      <c r="L449" s="9">
        <v>2644.73</v>
      </c>
      <c r="M449" s="9">
        <v>2759.94</v>
      </c>
      <c r="N449" s="9">
        <v>2844.9</v>
      </c>
      <c r="O449" s="9">
        <v>2852</v>
      </c>
      <c r="P449" s="9">
        <v>2852</v>
      </c>
      <c r="Q449" s="9">
        <v>2852</v>
      </c>
    </row>
    <row r="450" spans="1:17" ht="12.75">
      <c r="A450" s="3" t="s">
        <v>2974</v>
      </c>
      <c r="B450" s="11" t="s">
        <v>2975</v>
      </c>
      <c r="C450" s="36">
        <v>524600</v>
      </c>
      <c r="E450" s="3" t="s">
        <v>2976</v>
      </c>
      <c r="F450" s="19">
        <v>1736</v>
      </c>
      <c r="G450" s="19">
        <v>1747.88</v>
      </c>
      <c r="H450" s="19">
        <v>2146</v>
      </c>
      <c r="I450" s="8">
        <v>2271.52</v>
      </c>
      <c r="J450" s="8">
        <v>2473.87</v>
      </c>
      <c r="K450" s="8">
        <v>2304.4</v>
      </c>
      <c r="L450" s="9">
        <v>1795.95</v>
      </c>
      <c r="M450" s="9">
        <v>2395</v>
      </c>
      <c r="N450" s="9">
        <v>2399.39</v>
      </c>
      <c r="O450" s="9">
        <v>2400</v>
      </c>
      <c r="P450" s="9">
        <v>2400</v>
      </c>
      <c r="Q450" s="9">
        <v>4500</v>
      </c>
    </row>
    <row r="451" spans="1:17" ht="12.75">
      <c r="A451" s="3" t="s">
        <v>2964</v>
      </c>
      <c r="B451" s="11" t="s">
        <v>2965</v>
      </c>
      <c r="C451" s="36">
        <v>524900</v>
      </c>
      <c r="E451" s="3" t="s">
        <v>2966</v>
      </c>
      <c r="F451" s="19">
        <v>721</v>
      </c>
      <c r="G451" s="19">
        <v>676.35</v>
      </c>
      <c r="H451" s="19">
        <v>669.91</v>
      </c>
      <c r="I451" s="8">
        <v>807.99</v>
      </c>
      <c r="J451" s="8">
        <v>725.63</v>
      </c>
      <c r="K451" s="8">
        <v>651.28</v>
      </c>
      <c r="L451" s="9">
        <v>719.96</v>
      </c>
      <c r="M451" s="9">
        <v>241.24</v>
      </c>
      <c r="N451" s="9">
        <v>1065.87</v>
      </c>
      <c r="O451" s="9">
        <v>750</v>
      </c>
      <c r="P451" s="9">
        <v>750</v>
      </c>
      <c r="Q451" s="9">
        <v>750</v>
      </c>
    </row>
    <row r="452" spans="1:17" ht="12.75">
      <c r="A452" s="3" t="s">
        <v>2972</v>
      </c>
      <c r="B452" s="11" t="s">
        <v>2973</v>
      </c>
      <c r="C452" s="36">
        <v>530001</v>
      </c>
      <c r="E452" s="3" t="s">
        <v>1289</v>
      </c>
      <c r="F452" s="19">
        <v>0</v>
      </c>
      <c r="G452" s="19">
        <v>15732.8</v>
      </c>
      <c r="H452" s="19">
        <v>6375</v>
      </c>
      <c r="I452" s="8">
        <v>6389.22</v>
      </c>
      <c r="J452" s="9">
        <v>1148.89</v>
      </c>
      <c r="K452" s="8">
        <v>0</v>
      </c>
      <c r="L452" s="9">
        <v>2447.55</v>
      </c>
      <c r="M452" s="9">
        <v>2538.9</v>
      </c>
      <c r="N452" s="9">
        <v>7626.85</v>
      </c>
      <c r="O452" s="9">
        <v>4000</v>
      </c>
      <c r="P452" s="9">
        <v>4000</v>
      </c>
      <c r="Q452" s="9">
        <v>4000</v>
      </c>
    </row>
    <row r="453" spans="1:15" ht="12.75" hidden="1">
      <c r="A453" s="3" t="s">
        <v>2977</v>
      </c>
      <c r="B453" s="11" t="s">
        <v>2978</v>
      </c>
      <c r="E453" s="3" t="s">
        <v>1290</v>
      </c>
      <c r="F453" s="19">
        <v>5515</v>
      </c>
      <c r="G453" s="19">
        <v>5986.04</v>
      </c>
      <c r="H453" s="19">
        <v>5952.24</v>
      </c>
      <c r="I453" s="8">
        <v>5269.76</v>
      </c>
      <c r="J453" s="9">
        <v>5699.6</v>
      </c>
      <c r="K453" s="8">
        <v>0</v>
      </c>
      <c r="L453" s="9">
        <v>0</v>
      </c>
      <c r="M453" s="9">
        <v>0</v>
      </c>
      <c r="N453" s="9">
        <v>0</v>
      </c>
      <c r="O453" s="9">
        <v>0</v>
      </c>
    </row>
    <row r="454" spans="1:17" ht="12.75">
      <c r="A454" s="3" t="s">
        <v>2983</v>
      </c>
      <c r="B454" s="11" t="s">
        <v>2984</v>
      </c>
      <c r="C454" s="36">
        <v>531900</v>
      </c>
      <c r="E454" s="3" t="s">
        <v>2198</v>
      </c>
      <c r="F454" s="19">
        <v>96</v>
      </c>
      <c r="G454" s="19">
        <v>125</v>
      </c>
      <c r="H454" s="19">
        <v>196.54</v>
      </c>
      <c r="I454" s="8">
        <v>200</v>
      </c>
      <c r="J454" s="8">
        <v>182.18</v>
      </c>
      <c r="K454" s="8">
        <v>0</v>
      </c>
      <c r="L454" s="9">
        <v>80.92</v>
      </c>
      <c r="N454" s="9">
        <v>0</v>
      </c>
      <c r="O454" s="9">
        <v>200</v>
      </c>
      <c r="P454" s="9">
        <v>200</v>
      </c>
      <c r="Q454" s="9">
        <v>200</v>
      </c>
    </row>
    <row r="455" spans="1:17" ht="12.75">
      <c r="A455" s="3" t="s">
        <v>2981</v>
      </c>
      <c r="B455" s="11" t="s">
        <v>2982</v>
      </c>
      <c r="C455" s="36">
        <v>534500</v>
      </c>
      <c r="E455" s="3" t="s">
        <v>2195</v>
      </c>
      <c r="F455" s="19">
        <v>100</v>
      </c>
      <c r="G455" s="19">
        <v>149.2</v>
      </c>
      <c r="H455" s="19">
        <v>152.93</v>
      </c>
      <c r="I455" s="8">
        <v>110.24</v>
      </c>
      <c r="J455" s="8">
        <v>161.73</v>
      </c>
      <c r="K455" s="8">
        <v>149.76</v>
      </c>
      <c r="L455" s="9">
        <v>144.1</v>
      </c>
      <c r="M455" s="9">
        <v>57.3</v>
      </c>
      <c r="N455" s="9">
        <v>150</v>
      </c>
      <c r="O455" s="9">
        <v>150</v>
      </c>
      <c r="P455" s="9">
        <v>150</v>
      </c>
      <c r="Q455" s="9">
        <v>150</v>
      </c>
    </row>
    <row r="456" spans="1:17" ht="12.75">
      <c r="A456" s="3" t="s">
        <v>2979</v>
      </c>
      <c r="B456" s="11" t="s">
        <v>2980</v>
      </c>
      <c r="C456" s="36">
        <v>534600</v>
      </c>
      <c r="E456" s="3" t="s">
        <v>2473</v>
      </c>
      <c r="F456" s="19">
        <v>75</v>
      </c>
      <c r="G456" s="19">
        <v>60.72</v>
      </c>
      <c r="H456" s="19">
        <v>298.17</v>
      </c>
      <c r="I456" s="8">
        <v>208.19</v>
      </c>
      <c r="J456" s="8">
        <v>286.93</v>
      </c>
      <c r="K456" s="8">
        <v>288.93</v>
      </c>
      <c r="L456" s="9">
        <v>281.5</v>
      </c>
      <c r="M456" s="9">
        <v>274.51</v>
      </c>
      <c r="N456" s="9">
        <v>266.3</v>
      </c>
      <c r="O456" s="9">
        <v>300</v>
      </c>
      <c r="P456" s="9">
        <v>300</v>
      </c>
      <c r="Q456" s="9">
        <v>300</v>
      </c>
    </row>
    <row r="457" spans="1:14" ht="12.75" hidden="1">
      <c r="A457" s="3" t="s">
        <v>2985</v>
      </c>
      <c r="B457" s="11" t="s">
        <v>2986</v>
      </c>
      <c r="E457" s="3" t="s">
        <v>1291</v>
      </c>
      <c r="F457" s="19">
        <v>6323</v>
      </c>
      <c r="G457" s="19">
        <v>4151.18</v>
      </c>
      <c r="H457" s="19">
        <v>6499.34</v>
      </c>
      <c r="I457" s="8">
        <v>6472.8</v>
      </c>
      <c r="J457" s="8">
        <v>0</v>
      </c>
      <c r="K457" s="8">
        <v>0</v>
      </c>
      <c r="L457" s="9">
        <v>0</v>
      </c>
      <c r="M457" s="9">
        <v>0</v>
      </c>
      <c r="N457" s="9">
        <v>0</v>
      </c>
    </row>
    <row r="458" spans="1:17" ht="12.75">
      <c r="A458" s="3" t="s">
        <v>2987</v>
      </c>
      <c r="B458" s="11" t="s">
        <v>2988</v>
      </c>
      <c r="C458" s="36">
        <v>542100</v>
      </c>
      <c r="E458" s="3" t="s">
        <v>2335</v>
      </c>
      <c r="F458" s="19">
        <v>1121</v>
      </c>
      <c r="G458" s="19">
        <v>1527.08</v>
      </c>
      <c r="H458" s="19">
        <v>2499.77</v>
      </c>
      <c r="I458" s="8">
        <v>2470.07</v>
      </c>
      <c r="J458" s="9">
        <v>2422.28</v>
      </c>
      <c r="K458" s="8">
        <v>2486.83</v>
      </c>
      <c r="L458" s="9">
        <v>2501.36</v>
      </c>
      <c r="M458" s="9">
        <v>2468.43</v>
      </c>
      <c r="N458" s="9">
        <v>2456.77</v>
      </c>
      <c r="O458" s="9">
        <v>2500</v>
      </c>
      <c r="P458" s="9">
        <v>2500</v>
      </c>
      <c r="Q458" s="9">
        <v>2500</v>
      </c>
    </row>
    <row r="459" spans="1:17" ht="12.75">
      <c r="A459" s="3" t="s">
        <v>2989</v>
      </c>
      <c r="B459" s="11" t="s">
        <v>2990</v>
      </c>
      <c r="C459" s="36">
        <v>548000</v>
      </c>
      <c r="E459" s="3" t="s">
        <v>2991</v>
      </c>
      <c r="F459" s="19">
        <v>2297</v>
      </c>
      <c r="G459" s="19">
        <v>2954.01</v>
      </c>
      <c r="H459" s="19">
        <v>2998.26</v>
      </c>
      <c r="I459" s="8">
        <v>2991.9</v>
      </c>
      <c r="J459" s="9">
        <v>3078.06</v>
      </c>
      <c r="K459" s="8">
        <v>2493.59</v>
      </c>
      <c r="L459" s="9">
        <v>1451.85</v>
      </c>
      <c r="M459" s="9">
        <v>2318.2</v>
      </c>
      <c r="N459" s="9">
        <v>2497.18</v>
      </c>
      <c r="O459" s="9">
        <v>2500</v>
      </c>
      <c r="P459" s="9">
        <v>2500</v>
      </c>
      <c r="Q459" s="9">
        <v>2500</v>
      </c>
    </row>
    <row r="460" spans="1:15" ht="12.75">
      <c r="A460" s="3" t="s">
        <v>2992</v>
      </c>
      <c r="B460" s="11" t="s">
        <v>2993</v>
      </c>
      <c r="C460" s="36">
        <v>548900</v>
      </c>
      <c r="E460" s="3" t="s">
        <v>842</v>
      </c>
      <c r="F460" s="19">
        <v>2232</v>
      </c>
      <c r="G460" s="19">
        <v>2287.45</v>
      </c>
      <c r="H460" s="19">
        <v>2288.02</v>
      </c>
      <c r="I460" s="8">
        <v>2266.82</v>
      </c>
      <c r="J460" s="8">
        <v>2110.39</v>
      </c>
      <c r="K460" s="8">
        <v>0</v>
      </c>
      <c r="L460" s="9">
        <v>676.2</v>
      </c>
      <c r="M460" s="9">
        <v>2200</v>
      </c>
      <c r="N460" s="9">
        <v>2420</v>
      </c>
      <c r="O460" s="9">
        <v>0</v>
      </c>
    </row>
    <row r="461" spans="1:17" ht="12.75">
      <c r="A461" s="3" t="s">
        <v>2997</v>
      </c>
      <c r="B461" s="11" t="s">
        <v>2998</v>
      </c>
      <c r="C461" s="36">
        <v>558100</v>
      </c>
      <c r="E461" s="3" t="s">
        <v>2766</v>
      </c>
      <c r="F461" s="19">
        <v>883</v>
      </c>
      <c r="G461" s="19">
        <v>1240.47</v>
      </c>
      <c r="H461" s="19">
        <v>1473.49</v>
      </c>
      <c r="I461" s="8">
        <v>418</v>
      </c>
      <c r="J461" s="8">
        <v>1408</v>
      </c>
      <c r="K461" s="8">
        <v>701.36</v>
      </c>
      <c r="L461" s="9">
        <v>899.34</v>
      </c>
      <c r="M461" s="9">
        <v>931.7</v>
      </c>
      <c r="N461" s="9">
        <v>1450.23</v>
      </c>
      <c r="O461" s="9">
        <v>1509</v>
      </c>
      <c r="P461" s="9">
        <v>1509</v>
      </c>
      <c r="Q461" s="9">
        <v>1509</v>
      </c>
    </row>
    <row r="462" spans="1:17" ht="12.75">
      <c r="A462" s="3" t="s">
        <v>2994</v>
      </c>
      <c r="B462" s="11" t="s">
        <v>2995</v>
      </c>
      <c r="C462" s="36">
        <v>558200</v>
      </c>
      <c r="E462" s="3" t="s">
        <v>2996</v>
      </c>
      <c r="F462" s="19">
        <v>1363</v>
      </c>
      <c r="G462" s="19">
        <v>10110.07</v>
      </c>
      <c r="H462" s="19">
        <v>1911.5</v>
      </c>
      <c r="I462" s="8">
        <v>3150</v>
      </c>
      <c r="J462" s="8">
        <v>0</v>
      </c>
      <c r="K462" s="8">
        <v>1114.82</v>
      </c>
      <c r="L462" s="9">
        <v>2173.75</v>
      </c>
      <c r="M462" s="9">
        <v>1159.5</v>
      </c>
      <c r="N462" s="9">
        <v>1107.25</v>
      </c>
      <c r="O462" s="9">
        <v>1500</v>
      </c>
      <c r="P462" s="9">
        <v>1500</v>
      </c>
      <c r="Q462" s="9">
        <f>1500+2443</f>
        <v>3943</v>
      </c>
    </row>
    <row r="463" spans="2:17" ht="12.75" customHeight="1">
      <c r="B463" s="40">
        <v>5500.1</v>
      </c>
      <c r="C463" s="36">
        <v>571000</v>
      </c>
      <c r="E463" s="3" t="s">
        <v>2270</v>
      </c>
      <c r="F463" s="19">
        <v>2000</v>
      </c>
      <c r="G463" s="19">
        <v>0</v>
      </c>
      <c r="H463" s="19">
        <v>0</v>
      </c>
      <c r="I463" s="8">
        <v>0</v>
      </c>
      <c r="J463" s="9">
        <v>0</v>
      </c>
      <c r="K463" s="8">
        <v>0</v>
      </c>
      <c r="L463" s="9">
        <v>0</v>
      </c>
      <c r="M463" s="9">
        <v>2457.2</v>
      </c>
      <c r="N463" s="9">
        <v>2284.78</v>
      </c>
      <c r="O463" s="9">
        <v>2500</v>
      </c>
      <c r="P463" s="9">
        <v>2500</v>
      </c>
      <c r="Q463" s="9">
        <v>2500</v>
      </c>
    </row>
    <row r="464" spans="1:17" ht="12.75" customHeight="1">
      <c r="A464" s="3" t="s">
        <v>2999</v>
      </c>
      <c r="B464" s="11" t="s">
        <v>3000</v>
      </c>
      <c r="C464" s="36">
        <v>573000</v>
      </c>
      <c r="E464" s="3" t="s">
        <v>3001</v>
      </c>
      <c r="F464" s="19">
        <v>2029</v>
      </c>
      <c r="G464" s="19">
        <v>1062.65</v>
      </c>
      <c r="H464" s="19">
        <v>1485</v>
      </c>
      <c r="I464" s="8">
        <v>1595</v>
      </c>
      <c r="J464" s="8">
        <v>2119</v>
      </c>
      <c r="K464" s="8">
        <v>1040</v>
      </c>
      <c r="L464" s="9">
        <v>4965.2</v>
      </c>
      <c r="M464" s="9">
        <v>2586.85</v>
      </c>
      <c r="N464" s="9">
        <v>4314.92</v>
      </c>
      <c r="O464" s="9">
        <v>4835</v>
      </c>
      <c r="P464" s="9">
        <v>4835</v>
      </c>
      <c r="Q464" s="9">
        <v>4835</v>
      </c>
    </row>
    <row r="465" spans="5:18" ht="12.75">
      <c r="E465" s="20" t="s">
        <v>2274</v>
      </c>
      <c r="F465" s="25">
        <f aca="true" t="shared" si="98" ref="F465:K465">SUM(F463:F464)</f>
        <v>4029</v>
      </c>
      <c r="G465" s="25">
        <f t="shared" si="98"/>
        <v>1062.65</v>
      </c>
      <c r="H465" s="25">
        <f t="shared" si="98"/>
        <v>1485</v>
      </c>
      <c r="I465" s="23">
        <f t="shared" si="98"/>
        <v>1595</v>
      </c>
      <c r="J465" s="23">
        <f t="shared" si="98"/>
        <v>2119</v>
      </c>
      <c r="K465" s="23">
        <f t="shared" si="98"/>
        <v>1040</v>
      </c>
      <c r="L465" s="7">
        <f>SUM(L447:L464)</f>
        <v>22856.220000000005</v>
      </c>
      <c r="M465" s="7">
        <f aca="true" t="shared" si="99" ref="M465:R465">SUM(M447:M464)</f>
        <v>25045.88</v>
      </c>
      <c r="N465" s="7">
        <f t="shared" si="99"/>
        <v>33584.22</v>
      </c>
      <c r="O465" s="7">
        <f t="shared" si="99"/>
        <v>28715</v>
      </c>
      <c r="P465" s="7">
        <f t="shared" si="99"/>
        <v>28715</v>
      </c>
      <c r="Q465" s="7">
        <f t="shared" si="99"/>
        <v>34758</v>
      </c>
      <c r="R465" s="7">
        <f t="shared" si="99"/>
        <v>0</v>
      </c>
    </row>
    <row r="466" ht="6" customHeight="1">
      <c r="E466" s="20"/>
    </row>
    <row r="467" spans="1:18" ht="12.75">
      <c r="A467" s="3" t="s">
        <v>3002</v>
      </c>
      <c r="B467" s="11" t="s">
        <v>3003</v>
      </c>
      <c r="E467" s="3" t="s">
        <v>3004</v>
      </c>
      <c r="F467" s="19">
        <v>0</v>
      </c>
      <c r="G467" s="19">
        <v>0</v>
      </c>
      <c r="H467" s="19">
        <v>0</v>
      </c>
      <c r="I467" s="8">
        <v>0</v>
      </c>
      <c r="J467" s="9">
        <v>0</v>
      </c>
      <c r="K467" s="10">
        <v>0</v>
      </c>
      <c r="L467" s="9">
        <v>6115.75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</row>
    <row r="468" spans="1:18" ht="12.75" hidden="1">
      <c r="A468" s="3" t="s">
        <v>3005</v>
      </c>
      <c r="B468" s="11" t="s">
        <v>3006</v>
      </c>
      <c r="E468" s="3" t="s">
        <v>3007</v>
      </c>
      <c r="F468" s="19">
        <v>600</v>
      </c>
      <c r="G468" s="19">
        <v>0</v>
      </c>
      <c r="H468" s="19">
        <v>607</v>
      </c>
      <c r="I468" s="8">
        <v>0</v>
      </c>
      <c r="J468" s="9">
        <v>0</v>
      </c>
      <c r="K468" s="10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</row>
    <row r="469" spans="2:18" ht="12.75" hidden="1">
      <c r="B469" s="11" t="s">
        <v>3008</v>
      </c>
      <c r="E469" s="3" t="s">
        <v>3009</v>
      </c>
      <c r="F469" s="19">
        <v>966</v>
      </c>
      <c r="G469" s="19">
        <v>2000</v>
      </c>
      <c r="H469" s="19">
        <v>1963.55</v>
      </c>
      <c r="I469" s="8">
        <v>0</v>
      </c>
      <c r="J469" s="9">
        <v>0</v>
      </c>
      <c r="K469" s="10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</row>
    <row r="470" spans="5:18" ht="12.75">
      <c r="E470" s="20" t="s">
        <v>2277</v>
      </c>
      <c r="F470" s="56">
        <f aca="true" t="shared" si="100" ref="F470:L470">SUM(F467:F469)</f>
        <v>1566</v>
      </c>
      <c r="G470" s="21">
        <f t="shared" si="100"/>
        <v>2000</v>
      </c>
      <c r="H470" s="21">
        <f t="shared" si="100"/>
        <v>2570.55</v>
      </c>
      <c r="I470" s="22">
        <f t="shared" si="100"/>
        <v>0</v>
      </c>
      <c r="J470" s="23">
        <f t="shared" si="100"/>
        <v>0</v>
      </c>
      <c r="K470" s="23">
        <f t="shared" si="100"/>
        <v>0</v>
      </c>
      <c r="L470" s="7">
        <f t="shared" si="100"/>
        <v>6115.75</v>
      </c>
      <c r="M470" s="7">
        <f aca="true" t="shared" si="101" ref="M470:R470">SUM(M467:M469)</f>
        <v>0</v>
      </c>
      <c r="N470" s="7">
        <f t="shared" si="101"/>
        <v>0</v>
      </c>
      <c r="O470" s="7">
        <f t="shared" si="101"/>
        <v>0</v>
      </c>
      <c r="P470" s="7">
        <f t="shared" si="101"/>
        <v>0</v>
      </c>
      <c r="Q470" s="7">
        <f t="shared" si="101"/>
        <v>0</v>
      </c>
      <c r="R470" s="7">
        <f t="shared" si="101"/>
        <v>0</v>
      </c>
    </row>
    <row r="471" spans="5:10" ht="12.75">
      <c r="E471" s="20"/>
      <c r="F471" s="56"/>
      <c r="G471" s="56"/>
      <c r="H471" s="56"/>
      <c r="I471" s="57"/>
      <c r="J471" s="32"/>
    </row>
    <row r="472" spans="5:18" ht="12.75" customHeight="1">
      <c r="E472" s="38" t="s">
        <v>3010</v>
      </c>
      <c r="F472" s="31">
        <f aca="true" t="shared" si="102" ref="F472:K472">SUM(F434:F470)/2</f>
        <v>260771.5</v>
      </c>
      <c r="G472" s="31">
        <f t="shared" si="102"/>
        <v>282194.75499999995</v>
      </c>
      <c r="H472" s="31">
        <f t="shared" si="102"/>
        <v>290232.2500000001</v>
      </c>
      <c r="I472" s="28">
        <f t="shared" si="102"/>
        <v>302220.0349999999</v>
      </c>
      <c r="J472" s="28">
        <f t="shared" si="102"/>
        <v>308239.23500000004</v>
      </c>
      <c r="K472" s="28">
        <f t="shared" si="102"/>
        <v>372742.215</v>
      </c>
      <c r="L472" s="32">
        <f>SUM(L434:L470)/2</f>
        <v>238846.3</v>
      </c>
      <c r="M472" s="32">
        <f aca="true" t="shared" si="103" ref="M472:R472">SUM(M434:M470)/2</f>
        <v>307324.01999999996</v>
      </c>
      <c r="N472" s="32">
        <f t="shared" si="103"/>
        <v>361847.3900000001</v>
      </c>
      <c r="O472" s="32">
        <f t="shared" si="103"/>
        <v>348890</v>
      </c>
      <c r="P472" s="32">
        <f t="shared" si="103"/>
        <v>348890</v>
      </c>
      <c r="Q472" s="32">
        <f t="shared" si="103"/>
        <v>334415</v>
      </c>
      <c r="R472" s="32">
        <f t="shared" si="103"/>
        <v>0</v>
      </c>
    </row>
    <row r="473" spans="5:10" ht="12.75">
      <c r="E473" s="38"/>
      <c r="F473" s="31"/>
      <c r="G473" s="31"/>
      <c r="H473" s="31"/>
      <c r="I473" s="28"/>
      <c r="J473" s="32"/>
    </row>
    <row r="474" spans="5:10" ht="12.75" hidden="1">
      <c r="E474" s="38"/>
      <c r="F474" s="31"/>
      <c r="G474" s="31"/>
      <c r="H474" s="31"/>
      <c r="I474" s="28"/>
      <c r="J474" s="32"/>
    </row>
    <row r="475" spans="1:5" ht="12.75">
      <c r="A475" s="3" t="s">
        <v>2180</v>
      </c>
      <c r="E475" s="163" t="s">
        <v>198</v>
      </c>
    </row>
    <row r="476" spans="3:4" ht="12.75">
      <c r="C476" s="196">
        <v>12961</v>
      </c>
      <c r="D476" s="196"/>
    </row>
    <row r="477" spans="1:17" ht="12.75">
      <c r="A477" s="3" t="s">
        <v>199</v>
      </c>
      <c r="B477" s="11" t="s">
        <v>200</v>
      </c>
      <c r="C477" s="36">
        <v>511000</v>
      </c>
      <c r="E477" s="3" t="s">
        <v>2363</v>
      </c>
      <c r="F477" s="19">
        <v>299988</v>
      </c>
      <c r="G477" s="19">
        <v>309486.48</v>
      </c>
      <c r="H477" s="19">
        <v>329080.28</v>
      </c>
      <c r="I477" s="8">
        <v>335015.39</v>
      </c>
      <c r="J477" s="9">
        <v>417706.81</v>
      </c>
      <c r="K477" s="10">
        <v>421208.98</v>
      </c>
      <c r="L477" s="9">
        <v>381441.73</v>
      </c>
      <c r="M477" s="9">
        <v>366110.02</v>
      </c>
      <c r="N477" s="9">
        <v>407439.32</v>
      </c>
      <c r="O477" s="9">
        <v>427809</v>
      </c>
      <c r="P477" s="9">
        <v>427809</v>
      </c>
      <c r="Q477" s="9">
        <v>427476</v>
      </c>
    </row>
    <row r="478" spans="1:17" ht="12.75">
      <c r="A478" s="3" t="s">
        <v>201</v>
      </c>
      <c r="B478" s="11" t="s">
        <v>202</v>
      </c>
      <c r="C478" s="36">
        <v>511100</v>
      </c>
      <c r="E478" s="3" t="s">
        <v>2370</v>
      </c>
      <c r="F478" s="19">
        <v>34097</v>
      </c>
      <c r="G478" s="19">
        <v>28259.02</v>
      </c>
      <c r="H478" s="19">
        <v>32236.94</v>
      </c>
      <c r="I478" s="8">
        <v>39422.71</v>
      </c>
      <c r="J478" s="9">
        <v>59404.31</v>
      </c>
      <c r="K478" s="10">
        <v>59064.45</v>
      </c>
      <c r="L478" s="9">
        <v>77575.87</v>
      </c>
      <c r="M478" s="9">
        <v>42951.98</v>
      </c>
      <c r="N478" s="9">
        <v>31722.88</v>
      </c>
      <c r="O478" s="9">
        <v>37392</v>
      </c>
      <c r="P478" s="9">
        <v>37392</v>
      </c>
      <c r="Q478" s="9">
        <v>37392</v>
      </c>
    </row>
    <row r="479" spans="1:17" ht="12.75">
      <c r="A479" s="3" t="s">
        <v>203</v>
      </c>
      <c r="B479" s="11" t="s">
        <v>204</v>
      </c>
      <c r="C479" s="36">
        <v>513000</v>
      </c>
      <c r="E479" s="3" t="s">
        <v>2186</v>
      </c>
      <c r="F479" s="19">
        <v>28295</v>
      </c>
      <c r="G479" s="19">
        <v>37104.41</v>
      </c>
      <c r="H479" s="19">
        <v>45993.51</v>
      </c>
      <c r="I479" s="8">
        <v>43173.5</v>
      </c>
      <c r="J479" s="9">
        <v>34670.97</v>
      </c>
      <c r="K479" s="10">
        <v>25855.02</v>
      </c>
      <c r="L479" s="9">
        <v>39819.06</v>
      </c>
      <c r="M479" s="9">
        <v>53866.26</v>
      </c>
      <c r="N479" s="9">
        <v>45677.54</v>
      </c>
      <c r="O479" s="9">
        <v>42232</v>
      </c>
      <c r="P479" s="9">
        <v>42232</v>
      </c>
      <c r="Q479" s="9">
        <v>42232</v>
      </c>
    </row>
    <row r="480" spans="1:17" ht="11.25" customHeight="1">
      <c r="A480" s="3" t="s">
        <v>209</v>
      </c>
      <c r="B480" s="11" t="s">
        <v>210</v>
      </c>
      <c r="C480" s="36">
        <v>514700</v>
      </c>
      <c r="E480" s="3" t="s">
        <v>3050</v>
      </c>
      <c r="F480" s="19">
        <v>14323</v>
      </c>
      <c r="G480" s="19">
        <v>13961.23</v>
      </c>
      <c r="H480" s="19">
        <v>14912.33</v>
      </c>
      <c r="I480" s="8">
        <v>15086.54</v>
      </c>
      <c r="J480" s="9">
        <v>16484.58</v>
      </c>
      <c r="K480" s="10">
        <v>16289.99</v>
      </c>
      <c r="L480" s="9">
        <v>15002.39</v>
      </c>
      <c r="M480" s="9">
        <v>13781</v>
      </c>
      <c r="N480" s="9">
        <v>15302.55</v>
      </c>
      <c r="O480" s="9">
        <v>17212</v>
      </c>
      <c r="P480" s="9">
        <v>17212</v>
      </c>
      <c r="Q480" s="9">
        <v>17212</v>
      </c>
    </row>
    <row r="481" spans="1:17" ht="12.75">
      <c r="A481" s="3" t="s">
        <v>207</v>
      </c>
      <c r="B481" s="11" t="s">
        <v>208</v>
      </c>
      <c r="C481" s="36">
        <v>514900</v>
      </c>
      <c r="E481" s="3" t="s">
        <v>2944</v>
      </c>
      <c r="F481" s="19">
        <v>15129</v>
      </c>
      <c r="G481" s="19">
        <v>16396.93</v>
      </c>
      <c r="H481" s="19">
        <v>17120.45</v>
      </c>
      <c r="I481" s="8">
        <v>17423.97</v>
      </c>
      <c r="J481" s="9">
        <v>18825.02</v>
      </c>
      <c r="K481" s="10">
        <v>18599.58</v>
      </c>
      <c r="L481" s="9">
        <v>16545.51</v>
      </c>
      <c r="M481" s="9">
        <v>15348.27</v>
      </c>
      <c r="N481" s="9">
        <v>16669.61</v>
      </c>
      <c r="O481" s="9">
        <v>17996</v>
      </c>
      <c r="P481" s="9">
        <v>17996</v>
      </c>
      <c r="Q481" s="9">
        <v>17996</v>
      </c>
    </row>
    <row r="482" spans="1:17" ht="12.75">
      <c r="A482" s="3" t="s">
        <v>215</v>
      </c>
      <c r="B482" s="11" t="s">
        <v>216</v>
      </c>
      <c r="C482" s="36">
        <v>517000</v>
      </c>
      <c r="E482" s="3" t="s">
        <v>2222</v>
      </c>
      <c r="F482" s="19">
        <v>13862</v>
      </c>
      <c r="G482" s="19">
        <v>7754</v>
      </c>
      <c r="H482" s="19">
        <v>45102</v>
      </c>
      <c r="I482" s="8">
        <v>49209</v>
      </c>
      <c r="J482" s="9">
        <v>59739</v>
      </c>
      <c r="K482" s="10">
        <v>82284</v>
      </c>
      <c r="L482" s="9">
        <v>83679</v>
      </c>
      <c r="M482" s="9">
        <v>90744.04</v>
      </c>
      <c r="N482" s="9">
        <v>90988</v>
      </c>
      <c r="O482" s="9">
        <v>104062</v>
      </c>
      <c r="P482" s="9">
        <v>104062</v>
      </c>
      <c r="Q482" s="9">
        <v>95476</v>
      </c>
    </row>
    <row r="483" spans="1:17" ht="12.75">
      <c r="A483" s="3" t="s">
        <v>211</v>
      </c>
      <c r="B483" s="11" t="s">
        <v>212</v>
      </c>
      <c r="C483" s="36">
        <v>517200</v>
      </c>
      <c r="E483" s="3" t="s">
        <v>2291</v>
      </c>
      <c r="F483" s="19">
        <v>0</v>
      </c>
      <c r="G483" s="19">
        <v>0</v>
      </c>
      <c r="H483" s="19">
        <v>0</v>
      </c>
      <c r="I483" s="8">
        <v>0</v>
      </c>
      <c r="J483" s="9">
        <v>0</v>
      </c>
      <c r="K483" s="10">
        <v>0</v>
      </c>
      <c r="L483" s="9">
        <v>0</v>
      </c>
      <c r="M483" s="9">
        <v>1844</v>
      </c>
      <c r="N483" s="9">
        <v>1764</v>
      </c>
      <c r="O483" s="9">
        <f>2900+1676</f>
        <v>4576</v>
      </c>
      <c r="P483" s="9">
        <v>4576</v>
      </c>
      <c r="Q483" s="9">
        <v>1760</v>
      </c>
    </row>
    <row r="484" spans="1:17" ht="12.75">
      <c r="A484" s="3" t="s">
        <v>217</v>
      </c>
      <c r="B484" s="11" t="s">
        <v>218</v>
      </c>
      <c r="C484" s="36">
        <v>517800</v>
      </c>
      <c r="E484" s="3" t="s">
        <v>2298</v>
      </c>
      <c r="F484" s="19">
        <v>4921</v>
      </c>
      <c r="G484" s="19">
        <v>4237</v>
      </c>
      <c r="H484" s="19">
        <v>5450</v>
      </c>
      <c r="I484" s="8">
        <v>4290</v>
      </c>
      <c r="J484" s="9">
        <v>6330</v>
      </c>
      <c r="K484" s="10">
        <v>4720</v>
      </c>
      <c r="L484" s="9">
        <v>4720</v>
      </c>
      <c r="M484" s="9">
        <v>4400</v>
      </c>
      <c r="N484" s="9">
        <v>8294</v>
      </c>
      <c r="O484" s="9">
        <v>5525</v>
      </c>
      <c r="P484" s="9">
        <v>5525</v>
      </c>
      <c r="Q484" s="9">
        <v>5844</v>
      </c>
    </row>
    <row r="485" spans="1:17" ht="12.75">
      <c r="A485" s="3" t="s">
        <v>213</v>
      </c>
      <c r="B485" s="11" t="s">
        <v>214</v>
      </c>
      <c r="C485" s="36">
        <v>517900</v>
      </c>
      <c r="E485" s="3" t="s">
        <v>2219</v>
      </c>
      <c r="F485" s="19">
        <v>168</v>
      </c>
      <c r="G485" s="19">
        <v>168</v>
      </c>
      <c r="H485" s="19">
        <v>168</v>
      </c>
      <c r="I485" s="8">
        <v>0</v>
      </c>
      <c r="J485" s="9">
        <v>0</v>
      </c>
      <c r="K485" s="10">
        <v>0</v>
      </c>
      <c r="L485" s="9">
        <v>0</v>
      </c>
      <c r="O485" s="9">
        <v>114</v>
      </c>
      <c r="P485" s="9">
        <v>114</v>
      </c>
      <c r="Q485" s="9">
        <v>114</v>
      </c>
    </row>
    <row r="486" spans="1:17" ht="12.75">
      <c r="A486" s="3" t="s">
        <v>225</v>
      </c>
      <c r="B486" s="11" t="s">
        <v>226</v>
      </c>
      <c r="C486" s="36">
        <v>519500</v>
      </c>
      <c r="E486" s="3" t="s">
        <v>3061</v>
      </c>
      <c r="F486" s="19">
        <v>1671</v>
      </c>
      <c r="G486" s="19">
        <v>2457</v>
      </c>
      <c r="H486" s="19">
        <v>1694.66</v>
      </c>
      <c r="I486" s="8">
        <v>1644</v>
      </c>
      <c r="J486" s="9">
        <v>605</v>
      </c>
      <c r="K486" s="10">
        <v>710</v>
      </c>
      <c r="L486" s="9">
        <v>1028</v>
      </c>
      <c r="M486" s="9">
        <v>1861.44</v>
      </c>
      <c r="N486" s="9">
        <v>2662.1</v>
      </c>
      <c r="O486" s="9">
        <v>4000</v>
      </c>
      <c r="P486" s="9">
        <v>4000</v>
      </c>
      <c r="Q486" s="9">
        <v>4000</v>
      </c>
    </row>
    <row r="487" spans="2:14" ht="12.75" hidden="1">
      <c r="B487" s="36">
        <v>5512</v>
      </c>
      <c r="E487" s="3" t="s">
        <v>2291</v>
      </c>
      <c r="K487" s="10"/>
      <c r="N487" s="9">
        <v>0</v>
      </c>
    </row>
    <row r="488" spans="2:17" ht="12.75">
      <c r="B488" s="11" t="s">
        <v>227</v>
      </c>
      <c r="C488" s="36">
        <v>519600</v>
      </c>
      <c r="E488" s="3" t="s">
        <v>1209</v>
      </c>
      <c r="F488" s="19">
        <v>4875</v>
      </c>
      <c r="G488" s="19">
        <v>4440</v>
      </c>
      <c r="H488" s="19">
        <v>2250</v>
      </c>
      <c r="I488" s="8">
        <v>2250</v>
      </c>
      <c r="J488" s="9">
        <v>5264.55</v>
      </c>
      <c r="K488" s="10">
        <v>4744.98</v>
      </c>
      <c r="L488" s="9">
        <v>4052.88</v>
      </c>
      <c r="M488" s="9">
        <v>5297.52</v>
      </c>
      <c r="N488" s="9">
        <v>4949.4</v>
      </c>
      <c r="O488" s="9">
        <v>5000</v>
      </c>
      <c r="P488" s="9">
        <v>5000</v>
      </c>
      <c r="Q488" s="9">
        <v>5000</v>
      </c>
    </row>
    <row r="489" spans="1:17" ht="12.75">
      <c r="A489" s="3" t="s">
        <v>205</v>
      </c>
      <c r="B489" s="11" t="s">
        <v>206</v>
      </c>
      <c r="C489" s="36">
        <v>519800</v>
      </c>
      <c r="E489" s="3" t="s">
        <v>2643</v>
      </c>
      <c r="F489" s="19">
        <v>3630</v>
      </c>
      <c r="G489" s="19">
        <v>2430</v>
      </c>
      <c r="H489" s="19">
        <v>2130</v>
      </c>
      <c r="I489" s="8">
        <v>2155</v>
      </c>
      <c r="J489" s="9">
        <v>2580</v>
      </c>
      <c r="K489" s="10">
        <v>3255</v>
      </c>
      <c r="L489" s="9">
        <v>2073.84</v>
      </c>
      <c r="M489" s="9">
        <v>2130</v>
      </c>
      <c r="N489" s="9">
        <v>2130</v>
      </c>
      <c r="O489" s="9">
        <v>2925</v>
      </c>
      <c r="P489" s="9">
        <v>2925</v>
      </c>
      <c r="Q489" s="9">
        <v>3465</v>
      </c>
    </row>
    <row r="490" spans="1:17" ht="12.75">
      <c r="A490" s="3" t="s">
        <v>219</v>
      </c>
      <c r="B490" s="11" t="s">
        <v>220</v>
      </c>
      <c r="C490" s="36">
        <v>519900</v>
      </c>
      <c r="E490" s="3" t="s">
        <v>224</v>
      </c>
      <c r="F490" s="19">
        <v>8707</v>
      </c>
      <c r="G490" s="19">
        <v>6813.5</v>
      </c>
      <c r="H490" s="19">
        <v>7530.15</v>
      </c>
      <c r="I490" s="8">
        <v>6948.9</v>
      </c>
      <c r="J490" s="9">
        <v>7868.28</v>
      </c>
      <c r="K490" s="10">
        <v>7950.38</v>
      </c>
      <c r="L490" s="9">
        <v>8455.6</v>
      </c>
      <c r="M490" s="9">
        <v>8988.65</v>
      </c>
      <c r="N490" s="9">
        <v>8512.72</v>
      </c>
      <c r="O490" s="9">
        <v>7750</v>
      </c>
      <c r="P490" s="9">
        <v>7750</v>
      </c>
      <c r="Q490" s="9">
        <v>7750</v>
      </c>
    </row>
    <row r="491" spans="5:18" ht="12.75">
      <c r="E491" s="20" t="s">
        <v>2187</v>
      </c>
      <c r="F491" s="21">
        <f aca="true" t="shared" si="104" ref="F491:L491">SUM(F477:F490)</f>
        <v>429666</v>
      </c>
      <c r="G491" s="21">
        <f t="shared" si="104"/>
        <v>433507.57</v>
      </c>
      <c r="H491" s="21">
        <f t="shared" si="104"/>
        <v>503668.32000000007</v>
      </c>
      <c r="I491" s="22">
        <f t="shared" si="104"/>
        <v>516619.01</v>
      </c>
      <c r="J491" s="23">
        <f t="shared" si="104"/>
        <v>629478.52</v>
      </c>
      <c r="K491" s="23">
        <f t="shared" si="104"/>
        <v>644682.38</v>
      </c>
      <c r="L491" s="7">
        <f t="shared" si="104"/>
        <v>634393.8799999999</v>
      </c>
      <c r="M491" s="7">
        <f aca="true" t="shared" si="105" ref="M491:R491">SUM(M477:M490)</f>
        <v>607323.18</v>
      </c>
      <c r="N491" s="7">
        <f t="shared" si="105"/>
        <v>636112.1199999999</v>
      </c>
      <c r="O491" s="7">
        <f t="shared" si="105"/>
        <v>676593</v>
      </c>
      <c r="P491" s="7">
        <f t="shared" si="105"/>
        <v>676593</v>
      </c>
      <c r="Q491" s="7">
        <f t="shared" si="105"/>
        <v>665717</v>
      </c>
      <c r="R491" s="7">
        <f t="shared" si="105"/>
        <v>0</v>
      </c>
    </row>
    <row r="492" spans="3:4" ht="12.75">
      <c r="C492" s="196">
        <v>12962</v>
      </c>
      <c r="D492" s="196"/>
    </row>
    <row r="493" spans="1:18" ht="12.75" hidden="1">
      <c r="A493" s="3" t="s">
        <v>229</v>
      </c>
      <c r="B493" s="11" t="s">
        <v>230</v>
      </c>
      <c r="E493" s="3" t="s">
        <v>231</v>
      </c>
      <c r="F493" s="19">
        <v>0</v>
      </c>
      <c r="G493" s="19">
        <v>0</v>
      </c>
      <c r="H493" s="19">
        <v>0</v>
      </c>
      <c r="I493" s="8">
        <v>0</v>
      </c>
      <c r="J493" s="9">
        <v>0</v>
      </c>
      <c r="K493" s="10">
        <v>0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v>0</v>
      </c>
      <c r="R493" s="9">
        <v>0</v>
      </c>
    </row>
    <row r="494" spans="1:18" ht="12.75" hidden="1">
      <c r="A494" s="3" t="s">
        <v>232</v>
      </c>
      <c r="B494" s="11" t="s">
        <v>233</v>
      </c>
      <c r="E494" s="3" t="s">
        <v>1292</v>
      </c>
      <c r="F494" s="19">
        <v>0</v>
      </c>
      <c r="G494" s="19">
        <v>0</v>
      </c>
      <c r="H494" s="19">
        <v>0</v>
      </c>
      <c r="I494" s="8">
        <v>0</v>
      </c>
      <c r="J494" s="9">
        <v>-108.22</v>
      </c>
      <c r="K494" s="10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0</v>
      </c>
      <c r="R494" s="9">
        <v>0</v>
      </c>
    </row>
    <row r="495" spans="1:17" ht="12.75">
      <c r="A495" s="3" t="s">
        <v>241</v>
      </c>
      <c r="B495" s="11" t="s">
        <v>242</v>
      </c>
      <c r="C495" s="36">
        <v>524600</v>
      </c>
      <c r="E495" s="3" t="s">
        <v>243</v>
      </c>
      <c r="F495" s="19">
        <v>906</v>
      </c>
      <c r="G495" s="19">
        <v>959.9</v>
      </c>
      <c r="H495" s="19">
        <v>735</v>
      </c>
      <c r="I495" s="8">
        <v>815.8</v>
      </c>
      <c r="J495" s="9">
        <v>947.93</v>
      </c>
      <c r="K495" s="10">
        <v>964.65</v>
      </c>
      <c r="L495" s="9">
        <v>667.46</v>
      </c>
      <c r="M495" s="9">
        <v>989.27</v>
      </c>
      <c r="N495" s="9">
        <v>784.96</v>
      </c>
      <c r="O495" s="9">
        <v>1000</v>
      </c>
      <c r="P495" s="9">
        <v>1000</v>
      </c>
      <c r="Q495" s="9">
        <v>1000</v>
      </c>
    </row>
    <row r="496" spans="1:17" ht="12.75">
      <c r="A496" s="3" t="s">
        <v>236</v>
      </c>
      <c r="B496" s="11" t="s">
        <v>237</v>
      </c>
      <c r="C496" s="36">
        <v>524900</v>
      </c>
      <c r="E496" s="3" t="s">
        <v>1294</v>
      </c>
      <c r="F496" s="19">
        <v>13927</v>
      </c>
      <c r="G496" s="19">
        <v>15329.63</v>
      </c>
      <c r="H496" s="19">
        <v>15472.85</v>
      </c>
      <c r="I496" s="8">
        <v>14410.45</v>
      </c>
      <c r="J496" s="9">
        <v>16695.71</v>
      </c>
      <c r="K496" s="10">
        <v>11448.63</v>
      </c>
      <c r="L496" s="9">
        <v>14416.12</v>
      </c>
      <c r="M496" s="9">
        <v>12548.66</v>
      </c>
      <c r="N496" s="9">
        <v>13299.91</v>
      </c>
      <c r="O496" s="9">
        <v>30000</v>
      </c>
      <c r="P496" s="9">
        <v>30000</v>
      </c>
      <c r="Q496" s="9">
        <v>30000</v>
      </c>
    </row>
    <row r="497" spans="1:17" ht="12.75">
      <c r="A497" s="3" t="s">
        <v>238</v>
      </c>
      <c r="B497" s="11" t="s">
        <v>239</v>
      </c>
      <c r="C497" s="36">
        <v>524900</v>
      </c>
      <c r="E497" s="3" t="s">
        <v>240</v>
      </c>
      <c r="F497" s="19">
        <v>1511</v>
      </c>
      <c r="G497" s="19">
        <v>1502</v>
      </c>
      <c r="H497" s="19">
        <v>1498</v>
      </c>
      <c r="I497" s="8">
        <v>1500</v>
      </c>
      <c r="J497" s="9">
        <v>0</v>
      </c>
      <c r="K497" s="10">
        <v>0</v>
      </c>
      <c r="L497" s="9">
        <v>1500</v>
      </c>
      <c r="M497" s="9">
        <v>1364.5</v>
      </c>
      <c r="N497" s="9">
        <v>486.2</v>
      </c>
      <c r="O497" s="9">
        <v>1500</v>
      </c>
      <c r="P497" s="9">
        <v>1500</v>
      </c>
      <c r="Q497" s="9">
        <v>1500</v>
      </c>
    </row>
    <row r="498" spans="1:17" ht="12.75">
      <c r="A498" s="3" t="s">
        <v>234</v>
      </c>
      <c r="B498" s="11" t="s">
        <v>235</v>
      </c>
      <c r="C498" s="36">
        <v>534100</v>
      </c>
      <c r="E498" s="3" t="s">
        <v>1293</v>
      </c>
      <c r="F498" s="19">
        <v>44438</v>
      </c>
      <c r="G498" s="19">
        <v>45025.81</v>
      </c>
      <c r="H498" s="19">
        <v>44247.92</v>
      </c>
      <c r="I498" s="8">
        <v>37465.8</v>
      </c>
      <c r="J498" s="9">
        <v>39475.29</v>
      </c>
      <c r="K498" s="10">
        <v>36160.52</v>
      </c>
      <c r="L498" s="9">
        <v>39205.96</v>
      </c>
      <c r="M498" s="9">
        <v>35776.84</v>
      </c>
      <c r="N498" s="9">
        <v>37897.28</v>
      </c>
      <c r="O498" s="9">
        <v>41000</v>
      </c>
      <c r="P498" s="9">
        <v>41000</v>
      </c>
      <c r="Q498" s="9">
        <v>41000</v>
      </c>
    </row>
    <row r="499" spans="1:17" ht="12.75">
      <c r="A499" s="3" t="s">
        <v>244</v>
      </c>
      <c r="B499" s="11" t="s">
        <v>245</v>
      </c>
      <c r="C499" s="36">
        <v>542100</v>
      </c>
      <c r="E499" s="3" t="s">
        <v>2335</v>
      </c>
      <c r="F499" s="19">
        <v>985</v>
      </c>
      <c r="G499" s="19">
        <v>980.4</v>
      </c>
      <c r="H499" s="19">
        <v>943.36</v>
      </c>
      <c r="I499" s="8">
        <v>1461.81</v>
      </c>
      <c r="J499" s="9">
        <v>1459.57</v>
      </c>
      <c r="K499" s="10">
        <v>1405.44</v>
      </c>
      <c r="L499" s="9">
        <v>1506.49</v>
      </c>
      <c r="M499" s="9">
        <v>654.85</v>
      </c>
      <c r="N499" s="9">
        <v>1476.6</v>
      </c>
      <c r="O499" s="9">
        <v>1500</v>
      </c>
      <c r="P499" s="9">
        <v>1500</v>
      </c>
      <c r="Q499" s="9">
        <v>1500</v>
      </c>
    </row>
    <row r="500" spans="1:17" ht="12.75">
      <c r="A500" s="3" t="s">
        <v>246</v>
      </c>
      <c r="B500" s="11" t="s">
        <v>247</v>
      </c>
      <c r="C500" s="36">
        <v>542200</v>
      </c>
      <c r="E500" s="3" t="s">
        <v>2344</v>
      </c>
      <c r="F500" s="19">
        <v>1000</v>
      </c>
      <c r="G500" s="19">
        <v>1175.47</v>
      </c>
      <c r="H500" s="19">
        <v>0</v>
      </c>
      <c r="I500" s="8">
        <v>0</v>
      </c>
      <c r="J500" s="9">
        <v>0</v>
      </c>
      <c r="K500" s="10">
        <v>999.46</v>
      </c>
      <c r="L500" s="9">
        <v>844.91</v>
      </c>
      <c r="M500" s="9">
        <v>29.95</v>
      </c>
      <c r="N500" s="9">
        <v>611.58</v>
      </c>
      <c r="O500" s="9">
        <v>1000</v>
      </c>
      <c r="P500" s="9">
        <v>1000</v>
      </c>
      <c r="Q500" s="9">
        <v>1000</v>
      </c>
    </row>
    <row r="501" spans="1:17" ht="12.75">
      <c r="A501" s="3" t="s">
        <v>248</v>
      </c>
      <c r="B501" s="11" t="s">
        <v>249</v>
      </c>
      <c r="C501" s="36">
        <v>558200</v>
      </c>
      <c r="E501" s="3" t="s">
        <v>250</v>
      </c>
      <c r="F501" s="19">
        <v>0</v>
      </c>
      <c r="G501" s="19">
        <v>0</v>
      </c>
      <c r="H501" s="19">
        <v>459.5</v>
      </c>
      <c r="I501" s="8">
        <v>332.4</v>
      </c>
      <c r="J501" s="9">
        <v>453</v>
      </c>
      <c r="K501" s="10">
        <v>185</v>
      </c>
      <c r="L501" s="9">
        <v>1050</v>
      </c>
      <c r="M501" s="9">
        <v>534.9</v>
      </c>
      <c r="N501" s="9">
        <v>188</v>
      </c>
      <c r="O501" s="9">
        <v>500</v>
      </c>
      <c r="P501" s="9">
        <v>500</v>
      </c>
      <c r="Q501" s="9">
        <v>1000</v>
      </c>
    </row>
    <row r="502" spans="1:14" ht="12.75" hidden="1">
      <c r="A502" s="3" t="s">
        <v>251</v>
      </c>
      <c r="B502" s="11" t="s">
        <v>252</v>
      </c>
      <c r="E502" s="3" t="s">
        <v>253</v>
      </c>
      <c r="F502" s="19">
        <v>0</v>
      </c>
      <c r="G502" s="19">
        <v>0</v>
      </c>
      <c r="H502" s="19">
        <v>0</v>
      </c>
      <c r="I502" s="8">
        <v>0</v>
      </c>
      <c r="J502" s="9">
        <v>0</v>
      </c>
      <c r="K502" s="10">
        <v>0</v>
      </c>
      <c r="L502" s="9">
        <v>0</v>
      </c>
      <c r="M502" s="9">
        <v>0</v>
      </c>
      <c r="N502" s="9">
        <v>0</v>
      </c>
    </row>
    <row r="503" spans="2:16" ht="12.75">
      <c r="B503" s="11" t="s">
        <v>254</v>
      </c>
      <c r="C503" s="36">
        <v>573000</v>
      </c>
      <c r="E503" s="3" t="s">
        <v>2395</v>
      </c>
      <c r="F503" s="19">
        <v>291</v>
      </c>
      <c r="G503" s="19">
        <v>583</v>
      </c>
      <c r="H503" s="19">
        <v>452.91</v>
      </c>
      <c r="I503" s="8">
        <v>398.06</v>
      </c>
      <c r="J503" s="9">
        <v>645.19</v>
      </c>
      <c r="K503" s="10">
        <v>534.67</v>
      </c>
      <c r="L503" s="9">
        <v>528.51</v>
      </c>
      <c r="M503" s="9">
        <v>398.99</v>
      </c>
      <c r="N503" s="9">
        <v>646</v>
      </c>
      <c r="O503" s="9">
        <v>600</v>
      </c>
      <c r="P503" s="9">
        <v>600</v>
      </c>
    </row>
    <row r="504" spans="2:15" ht="12.75">
      <c r="B504" s="11">
        <v>5527</v>
      </c>
      <c r="E504" s="3" t="s">
        <v>255</v>
      </c>
      <c r="F504" s="19">
        <v>0</v>
      </c>
      <c r="G504" s="19">
        <v>0</v>
      </c>
      <c r="H504" s="19">
        <v>0</v>
      </c>
      <c r="I504" s="8">
        <v>0</v>
      </c>
      <c r="J504" s="9">
        <v>0</v>
      </c>
      <c r="K504" s="10">
        <v>0</v>
      </c>
      <c r="L504" s="9">
        <v>0</v>
      </c>
      <c r="M504" s="9">
        <v>0</v>
      </c>
      <c r="N504" s="9">
        <v>0</v>
      </c>
      <c r="O504" s="9">
        <v>0</v>
      </c>
    </row>
    <row r="505" spans="5:18" ht="12.75">
      <c r="E505" s="20" t="s">
        <v>2274</v>
      </c>
      <c r="F505" s="25">
        <f aca="true" t="shared" si="106" ref="F505:K505">SUM(F499:F504)</f>
        <v>2276</v>
      </c>
      <c r="G505" s="25">
        <f t="shared" si="106"/>
        <v>2738.87</v>
      </c>
      <c r="H505" s="25">
        <f t="shared" si="106"/>
        <v>1855.7700000000002</v>
      </c>
      <c r="I505" s="23">
        <f t="shared" si="106"/>
        <v>2192.27</v>
      </c>
      <c r="J505" s="23">
        <f t="shared" si="106"/>
        <v>2557.76</v>
      </c>
      <c r="K505" s="23">
        <f t="shared" si="106"/>
        <v>3124.57</v>
      </c>
      <c r="L505" s="7">
        <f>SUM(L495:L504)</f>
        <v>59719.450000000004</v>
      </c>
      <c r="M505" s="7">
        <f aca="true" t="shared" si="107" ref="M505:R505">SUM(M495:M504)</f>
        <v>52297.95999999999</v>
      </c>
      <c r="N505" s="7">
        <f t="shared" si="107"/>
        <v>55390.53</v>
      </c>
      <c r="O505" s="7">
        <f t="shared" si="107"/>
        <v>77100</v>
      </c>
      <c r="P505" s="7">
        <f t="shared" si="107"/>
        <v>77100</v>
      </c>
      <c r="Q505" s="7">
        <f t="shared" si="107"/>
        <v>77000</v>
      </c>
      <c r="R505" s="7">
        <f t="shared" si="107"/>
        <v>0</v>
      </c>
    </row>
    <row r="506" spans="3:4" ht="12.75" hidden="1">
      <c r="C506" s="196">
        <v>12963</v>
      </c>
      <c r="D506" s="196"/>
    </row>
    <row r="507" spans="2:18" ht="12.75" hidden="1">
      <c r="B507" s="11">
        <v>5526</v>
      </c>
      <c r="C507" s="36">
        <v>587100</v>
      </c>
      <c r="E507" s="3" t="s">
        <v>2276</v>
      </c>
      <c r="F507" s="19">
        <v>0</v>
      </c>
      <c r="H507" s="19">
        <v>532.75</v>
      </c>
      <c r="I507" s="8">
        <v>1491.49</v>
      </c>
      <c r="J507" s="9">
        <v>0</v>
      </c>
      <c r="K507" s="10">
        <v>590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v>0</v>
      </c>
      <c r="R507" s="9">
        <v>0</v>
      </c>
    </row>
    <row r="508" spans="1:18" ht="12.75" hidden="1">
      <c r="A508" s="3" t="s">
        <v>256</v>
      </c>
      <c r="B508" s="11" t="s">
        <v>257</v>
      </c>
      <c r="E508" s="3" t="s">
        <v>258</v>
      </c>
      <c r="F508" s="19">
        <v>19619</v>
      </c>
      <c r="G508" s="19">
        <v>0</v>
      </c>
      <c r="H508" s="19">
        <v>0</v>
      </c>
      <c r="I508" s="8">
        <v>0</v>
      </c>
      <c r="J508" s="9">
        <v>0</v>
      </c>
      <c r="K508" s="10">
        <v>0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</row>
    <row r="509" spans="1:18" ht="12.75" hidden="1">
      <c r="A509" s="38"/>
      <c r="B509" s="15"/>
      <c r="C509" s="39"/>
      <c r="D509" s="39"/>
      <c r="E509" s="58" t="s">
        <v>2277</v>
      </c>
      <c r="F509" s="59">
        <f>SUM(F507)</f>
        <v>0</v>
      </c>
      <c r="G509" s="59">
        <f>SUM(G507)</f>
        <v>0</v>
      </c>
      <c r="H509" s="59">
        <f aca="true" t="shared" si="108" ref="H509:N509">SUM(H507:H508)</f>
        <v>532.75</v>
      </c>
      <c r="I509" s="60">
        <f t="shared" si="108"/>
        <v>1491.49</v>
      </c>
      <c r="J509" s="23">
        <f t="shared" si="108"/>
        <v>0</v>
      </c>
      <c r="K509" s="23">
        <f t="shared" si="108"/>
        <v>590</v>
      </c>
      <c r="L509" s="7">
        <f t="shared" si="108"/>
        <v>0</v>
      </c>
      <c r="M509" s="7">
        <f t="shared" si="108"/>
        <v>0</v>
      </c>
      <c r="N509" s="7">
        <f t="shared" si="108"/>
        <v>0</v>
      </c>
      <c r="O509" s="7">
        <f>SUM(O507:O508)</f>
        <v>0</v>
      </c>
      <c r="P509" s="7">
        <f>SUM(P507:P508)</f>
        <v>0</v>
      </c>
      <c r="Q509" s="7">
        <f>SUM(Q507:Q508)</f>
        <v>0</v>
      </c>
      <c r="R509" s="7">
        <f>SUM(R507:R508)</f>
        <v>0</v>
      </c>
    </row>
    <row r="511" spans="5:18" ht="12.75">
      <c r="E511" s="30" t="s">
        <v>259</v>
      </c>
      <c r="F511" s="31">
        <f aca="true" t="shared" si="109" ref="F511:K511">SUM(F477:F509)/2</f>
        <v>472142.5</v>
      </c>
      <c r="G511" s="31">
        <f t="shared" si="109"/>
        <v>467655.11</v>
      </c>
      <c r="H511" s="31">
        <f t="shared" si="109"/>
        <v>537033.7250000001</v>
      </c>
      <c r="I511" s="28">
        <f t="shared" si="109"/>
        <v>547398.795</v>
      </c>
      <c r="J511" s="28">
        <f t="shared" si="109"/>
        <v>660541.635</v>
      </c>
      <c r="K511" s="28">
        <f t="shared" si="109"/>
        <v>672683.8499999999</v>
      </c>
      <c r="L511" s="32">
        <f>SUM(L477:L509)/2</f>
        <v>694113.3299999998</v>
      </c>
      <c r="M511" s="32">
        <f aca="true" t="shared" si="110" ref="M511:R511">SUM(M477:M509)/2</f>
        <v>659621.14</v>
      </c>
      <c r="N511" s="32">
        <f t="shared" si="110"/>
        <v>691502.6499999999</v>
      </c>
      <c r="O511" s="32">
        <f t="shared" si="110"/>
        <v>753693</v>
      </c>
      <c r="P511" s="32">
        <f t="shared" si="110"/>
        <v>753693</v>
      </c>
      <c r="Q511" s="32">
        <f t="shared" si="110"/>
        <v>742717</v>
      </c>
      <c r="R511" s="32">
        <f t="shared" si="110"/>
        <v>0</v>
      </c>
    </row>
    <row r="512" spans="5:10" ht="12.75">
      <c r="E512" s="38"/>
      <c r="F512" s="31"/>
      <c r="G512" s="31"/>
      <c r="H512" s="31"/>
      <c r="I512" s="28"/>
      <c r="J512" s="32"/>
    </row>
    <row r="513" spans="1:5" ht="12.75">
      <c r="A513" s="3" t="s">
        <v>2180</v>
      </c>
      <c r="C513" s="196">
        <v>12121</v>
      </c>
      <c r="D513" s="196"/>
      <c r="E513" s="163" t="s">
        <v>3011</v>
      </c>
    </row>
    <row r="514" spans="1:17" ht="12.75">
      <c r="A514" s="3" t="s">
        <v>3012</v>
      </c>
      <c r="B514" s="11" t="s">
        <v>3013</v>
      </c>
      <c r="C514" s="36">
        <v>511000</v>
      </c>
      <c r="E514" s="3" t="s">
        <v>2363</v>
      </c>
      <c r="F514" s="19">
        <v>49334</v>
      </c>
      <c r="G514" s="19">
        <v>50850.28</v>
      </c>
      <c r="H514" s="19">
        <v>52541.81</v>
      </c>
      <c r="I514" s="8">
        <v>52351.93</v>
      </c>
      <c r="J514" s="8">
        <v>57219.52</v>
      </c>
      <c r="K514" s="8">
        <v>57100.57</v>
      </c>
      <c r="L514" s="9">
        <v>52758.37</v>
      </c>
      <c r="M514" s="9">
        <v>49214.1</v>
      </c>
      <c r="N514" s="9">
        <v>59106.18</v>
      </c>
      <c r="O514" s="9">
        <v>61178</v>
      </c>
      <c r="P514" s="9">
        <v>61178</v>
      </c>
      <c r="Q514" s="9">
        <v>62505</v>
      </c>
    </row>
    <row r="515" spans="1:14" ht="12.75" hidden="1">
      <c r="A515" s="3" t="s">
        <v>3014</v>
      </c>
      <c r="B515" s="11" t="s">
        <v>3015</v>
      </c>
      <c r="E515" s="3" t="s">
        <v>2370</v>
      </c>
      <c r="F515" s="19">
        <v>8322</v>
      </c>
      <c r="G515" s="19">
        <v>10155.27</v>
      </c>
      <c r="H515" s="19">
        <v>10239.51</v>
      </c>
      <c r="I515" s="8">
        <v>6544.23</v>
      </c>
      <c r="J515" s="8">
        <v>0</v>
      </c>
      <c r="K515" s="8">
        <v>0</v>
      </c>
      <c r="L515" s="9">
        <v>0</v>
      </c>
      <c r="M515" s="9">
        <v>0</v>
      </c>
      <c r="N515" s="9">
        <v>0</v>
      </c>
    </row>
    <row r="516" spans="1:17" ht="12.75">
      <c r="A516" s="3" t="s">
        <v>3016</v>
      </c>
      <c r="B516" s="11" t="s">
        <v>3017</v>
      </c>
      <c r="C516" s="36">
        <v>514800</v>
      </c>
      <c r="E516" s="3" t="s">
        <v>2288</v>
      </c>
      <c r="F516" s="19">
        <v>650</v>
      </c>
      <c r="G516" s="19">
        <v>650</v>
      </c>
      <c r="H516" s="19">
        <v>650</v>
      </c>
      <c r="I516" s="8">
        <v>650</v>
      </c>
      <c r="J516" s="8">
        <v>650</v>
      </c>
      <c r="K516" s="8">
        <v>650</v>
      </c>
      <c r="L516" s="9">
        <v>325</v>
      </c>
      <c r="M516" s="9">
        <v>325</v>
      </c>
      <c r="N516" s="9">
        <v>475</v>
      </c>
      <c r="O516" s="9">
        <v>425</v>
      </c>
      <c r="P516" s="9">
        <v>425</v>
      </c>
      <c r="Q516" s="9">
        <v>475</v>
      </c>
    </row>
    <row r="517" spans="1:17" ht="12.75">
      <c r="A517" s="3" t="s">
        <v>3020</v>
      </c>
      <c r="B517" s="11" t="s">
        <v>3021</v>
      </c>
      <c r="C517" s="36">
        <v>517000</v>
      </c>
      <c r="E517" s="3" t="s">
        <v>2222</v>
      </c>
      <c r="F517" s="19">
        <v>7508</v>
      </c>
      <c r="G517" s="19">
        <v>7132</v>
      </c>
      <c r="H517" s="19">
        <v>4129</v>
      </c>
      <c r="I517" s="8">
        <v>5249</v>
      </c>
      <c r="J517" s="8">
        <v>6282</v>
      </c>
      <c r="K517" s="8">
        <v>7105</v>
      </c>
      <c r="L517" s="9">
        <v>4118</v>
      </c>
      <c r="M517" s="9">
        <v>0</v>
      </c>
      <c r="N517" s="9">
        <v>0</v>
      </c>
      <c r="O517" s="9">
        <v>0</v>
      </c>
      <c r="Q517" s="9">
        <v>0</v>
      </c>
    </row>
    <row r="518" spans="1:17" ht="12.75">
      <c r="A518" s="3" t="s">
        <v>3018</v>
      </c>
      <c r="B518" s="11" t="s">
        <v>3019</v>
      </c>
      <c r="C518" s="36">
        <v>517200</v>
      </c>
      <c r="E518" s="3" t="s">
        <v>2291</v>
      </c>
      <c r="F518" s="19">
        <v>130</v>
      </c>
      <c r="G518" s="19">
        <v>98</v>
      </c>
      <c r="H518" s="19">
        <v>98</v>
      </c>
      <c r="I518" s="8">
        <v>98</v>
      </c>
      <c r="J518" s="8">
        <v>98</v>
      </c>
      <c r="K518" s="8">
        <v>98</v>
      </c>
      <c r="L518" s="9">
        <v>98</v>
      </c>
      <c r="M518" s="9">
        <v>94</v>
      </c>
      <c r="N518" s="9">
        <v>89</v>
      </c>
      <c r="O518" s="9">
        <v>85</v>
      </c>
      <c r="P518" s="9">
        <v>85</v>
      </c>
      <c r="Q518" s="9">
        <v>89</v>
      </c>
    </row>
    <row r="519" spans="1:17" ht="12.75">
      <c r="A519" s="3" t="s">
        <v>3022</v>
      </c>
      <c r="B519" s="11" t="s">
        <v>3023</v>
      </c>
      <c r="C519" s="36">
        <v>517800</v>
      </c>
      <c r="E519" s="3" t="s">
        <v>2298</v>
      </c>
      <c r="F519" s="19">
        <v>110</v>
      </c>
      <c r="G519" s="19">
        <v>119</v>
      </c>
      <c r="H519" s="19">
        <v>126</v>
      </c>
      <c r="I519" s="8">
        <v>140</v>
      </c>
      <c r="J519" s="8">
        <v>150</v>
      </c>
      <c r="K519" s="8">
        <v>0</v>
      </c>
      <c r="L519" s="9">
        <v>0</v>
      </c>
      <c r="M519" s="9">
        <v>550</v>
      </c>
      <c r="N519" s="9">
        <v>575</v>
      </c>
      <c r="O519" s="9">
        <v>600</v>
      </c>
      <c r="P519" s="9">
        <v>600</v>
      </c>
      <c r="Q519" s="9">
        <v>771</v>
      </c>
    </row>
    <row r="520" spans="5:18" ht="12.75">
      <c r="E520" s="20" t="s">
        <v>2187</v>
      </c>
      <c r="F520" s="21">
        <f aca="true" t="shared" si="111" ref="F520:L520">SUM(F514:F519)</f>
        <v>66054</v>
      </c>
      <c r="G520" s="21">
        <f t="shared" si="111"/>
        <v>69004.55</v>
      </c>
      <c r="H520" s="21">
        <f t="shared" si="111"/>
        <v>67784.32</v>
      </c>
      <c r="I520" s="22">
        <f t="shared" si="111"/>
        <v>65033.16</v>
      </c>
      <c r="J520" s="23">
        <f t="shared" si="111"/>
        <v>64399.52</v>
      </c>
      <c r="K520" s="23">
        <f t="shared" si="111"/>
        <v>64953.57</v>
      </c>
      <c r="L520" s="7">
        <f t="shared" si="111"/>
        <v>57299.37</v>
      </c>
      <c r="M520" s="7">
        <f aca="true" t="shared" si="112" ref="M520:R520">SUM(M514:M519)</f>
        <v>50183.1</v>
      </c>
      <c r="N520" s="7">
        <f t="shared" si="112"/>
        <v>60245.18</v>
      </c>
      <c r="O520" s="7">
        <f t="shared" si="112"/>
        <v>62288</v>
      </c>
      <c r="P520" s="7">
        <f t="shared" si="112"/>
        <v>62288</v>
      </c>
      <c r="Q520" s="7">
        <f t="shared" si="112"/>
        <v>63840</v>
      </c>
      <c r="R520" s="7">
        <f t="shared" si="112"/>
        <v>0</v>
      </c>
    </row>
    <row r="521" spans="3:4" ht="12.75">
      <c r="C521" s="196">
        <v>12122</v>
      </c>
      <c r="D521" s="196"/>
    </row>
    <row r="522" spans="1:17" ht="12.75">
      <c r="A522" s="3" t="s">
        <v>3024</v>
      </c>
      <c r="B522" s="11" t="s">
        <v>3025</v>
      </c>
      <c r="C522" s="36">
        <v>524500</v>
      </c>
      <c r="E522" s="3" t="s">
        <v>1295</v>
      </c>
      <c r="F522" s="19">
        <v>149</v>
      </c>
      <c r="G522" s="19">
        <v>17.32</v>
      </c>
      <c r="H522" s="19">
        <v>749.91</v>
      </c>
      <c r="I522" s="8">
        <v>217</v>
      </c>
      <c r="J522" s="8">
        <v>192.02</v>
      </c>
      <c r="K522" s="8">
        <v>0</v>
      </c>
      <c r="L522" s="9">
        <v>179.99</v>
      </c>
      <c r="M522" s="9">
        <v>233.21</v>
      </c>
      <c r="N522" s="9">
        <v>225</v>
      </c>
      <c r="O522" s="9">
        <v>250</v>
      </c>
      <c r="P522" s="9">
        <v>250</v>
      </c>
      <c r="Q522" s="9">
        <v>250</v>
      </c>
    </row>
    <row r="523" spans="1:17" ht="12.75">
      <c r="A523" s="3" t="s">
        <v>3026</v>
      </c>
      <c r="B523" s="11" t="s">
        <v>3027</v>
      </c>
      <c r="C523" s="36">
        <v>527200</v>
      </c>
      <c r="E523" s="3" t="s">
        <v>1296</v>
      </c>
      <c r="F523" s="19">
        <v>3258</v>
      </c>
      <c r="G523" s="19">
        <v>3387.86</v>
      </c>
      <c r="H523" s="19">
        <v>4312.76</v>
      </c>
      <c r="I523" s="8">
        <v>4278.48</v>
      </c>
      <c r="J523" s="8">
        <v>4291.13</v>
      </c>
      <c r="K523" s="8">
        <v>4003.24</v>
      </c>
      <c r="L523" s="9">
        <v>4258.08</v>
      </c>
      <c r="M523" s="9">
        <v>4117.9</v>
      </c>
      <c r="N523" s="9">
        <v>4327.81</v>
      </c>
      <c r="O523" s="9">
        <v>4350</v>
      </c>
      <c r="P523" s="9">
        <v>4350</v>
      </c>
      <c r="Q523" s="9">
        <v>4350</v>
      </c>
    </row>
    <row r="524" spans="1:17" ht="12.75">
      <c r="A524" s="3" t="s">
        <v>3028</v>
      </c>
      <c r="B524" s="11" t="s">
        <v>3029</v>
      </c>
      <c r="C524" s="36">
        <v>542100</v>
      </c>
      <c r="E524" s="3" t="s">
        <v>2335</v>
      </c>
      <c r="F524" s="19">
        <v>1049</v>
      </c>
      <c r="G524" s="19">
        <v>934.88</v>
      </c>
      <c r="H524" s="19">
        <v>1049.15</v>
      </c>
      <c r="I524" s="8">
        <v>1016.3</v>
      </c>
      <c r="J524" s="8">
        <v>1031.78</v>
      </c>
      <c r="K524" s="8">
        <v>328.21</v>
      </c>
      <c r="L524" s="9">
        <v>767.68</v>
      </c>
      <c r="M524" s="9">
        <v>1054.25</v>
      </c>
      <c r="N524" s="9">
        <v>1010.49</v>
      </c>
      <c r="O524" s="9">
        <v>1056</v>
      </c>
      <c r="P524" s="9">
        <v>1056</v>
      </c>
      <c r="Q524" s="9">
        <v>1056</v>
      </c>
    </row>
    <row r="525" spans="1:17" ht="12.75">
      <c r="A525" s="3" t="s">
        <v>3030</v>
      </c>
      <c r="B525" s="11" t="s">
        <v>3031</v>
      </c>
      <c r="C525" s="36">
        <v>542100</v>
      </c>
      <c r="E525" s="3" t="s">
        <v>3032</v>
      </c>
      <c r="F525" s="19">
        <v>1886</v>
      </c>
      <c r="G525" s="19">
        <v>1641.7</v>
      </c>
      <c r="H525" s="19">
        <v>2500</v>
      </c>
      <c r="I525" s="8">
        <v>2485.33</v>
      </c>
      <c r="J525" s="8">
        <v>2465.91</v>
      </c>
      <c r="K525" s="8">
        <v>1534</v>
      </c>
      <c r="L525" s="9">
        <v>1111.29</v>
      </c>
      <c r="M525" s="9">
        <v>2267.33</v>
      </c>
      <c r="N525" s="9">
        <v>2491.29</v>
      </c>
      <c r="O525" s="9">
        <v>2500</v>
      </c>
      <c r="P525" s="9">
        <v>2500</v>
      </c>
      <c r="Q525" s="9">
        <v>2500</v>
      </c>
    </row>
    <row r="526" spans="5:18" ht="12.75">
      <c r="E526" s="20" t="s">
        <v>2274</v>
      </c>
      <c r="F526" s="21">
        <f aca="true" t="shared" si="113" ref="F526:K526">SUM(F524:F525)</f>
        <v>2935</v>
      </c>
      <c r="G526" s="21">
        <f t="shared" si="113"/>
        <v>2576.58</v>
      </c>
      <c r="H526" s="21">
        <f t="shared" si="113"/>
        <v>3549.15</v>
      </c>
      <c r="I526" s="22">
        <f t="shared" si="113"/>
        <v>3501.63</v>
      </c>
      <c r="J526" s="23">
        <f t="shared" si="113"/>
        <v>3497.6899999999996</v>
      </c>
      <c r="K526" s="23">
        <f t="shared" si="113"/>
        <v>1862.21</v>
      </c>
      <c r="L526" s="7">
        <f>SUM(L522:L525)</f>
        <v>6317.04</v>
      </c>
      <c r="M526" s="7">
        <f aca="true" t="shared" si="114" ref="M526:R526">SUM(M522:M525)</f>
        <v>7672.69</v>
      </c>
      <c r="N526" s="7">
        <f t="shared" si="114"/>
        <v>8054.59</v>
      </c>
      <c r="O526" s="7">
        <f t="shared" si="114"/>
        <v>8156</v>
      </c>
      <c r="P526" s="7">
        <f t="shared" si="114"/>
        <v>8156</v>
      </c>
      <c r="Q526" s="7">
        <f t="shared" si="114"/>
        <v>8156</v>
      </c>
      <c r="R526" s="7">
        <f t="shared" si="114"/>
        <v>0</v>
      </c>
    </row>
    <row r="527" ht="12.75">
      <c r="I527" s="10"/>
    </row>
    <row r="528" spans="5:18" ht="12.75">
      <c r="E528" s="2" t="s">
        <v>3033</v>
      </c>
      <c r="F528" s="31">
        <f aca="true" t="shared" si="115" ref="F528:K528">SUM(F514:F526)/2</f>
        <v>70692.5</v>
      </c>
      <c r="G528" s="31">
        <f t="shared" si="115"/>
        <v>73283.72</v>
      </c>
      <c r="H528" s="31">
        <f t="shared" si="115"/>
        <v>73864.80500000001</v>
      </c>
      <c r="I528" s="28">
        <f t="shared" si="115"/>
        <v>70782.53</v>
      </c>
      <c r="J528" s="28">
        <f t="shared" si="115"/>
        <v>70138.785</v>
      </c>
      <c r="K528" s="28">
        <f t="shared" si="115"/>
        <v>68817.4</v>
      </c>
      <c r="L528" s="32">
        <f>SUM(L514:L526)/2</f>
        <v>63616.409999999996</v>
      </c>
      <c r="M528" s="32">
        <f aca="true" t="shared" si="116" ref="M528:R528">SUM(M514:M526)/2</f>
        <v>57855.79</v>
      </c>
      <c r="N528" s="32">
        <f t="shared" si="116"/>
        <v>68299.77</v>
      </c>
      <c r="O528" s="32">
        <f t="shared" si="116"/>
        <v>70444</v>
      </c>
      <c r="P528" s="32">
        <f t="shared" si="116"/>
        <v>70444</v>
      </c>
      <c r="Q528" s="32">
        <f t="shared" si="116"/>
        <v>71996</v>
      </c>
      <c r="R528" s="32">
        <f t="shared" si="116"/>
        <v>0</v>
      </c>
    </row>
    <row r="529" ht="12.75">
      <c r="E529" s="38"/>
    </row>
    <row r="530" spans="1:5" ht="12.75">
      <c r="A530" s="3" t="s">
        <v>2180</v>
      </c>
      <c r="C530" s="196">
        <v>12131</v>
      </c>
      <c r="D530" s="196"/>
      <c r="E530" s="163" t="s">
        <v>3034</v>
      </c>
    </row>
    <row r="531" spans="1:17" ht="12.75">
      <c r="A531" s="3" t="s">
        <v>3035</v>
      </c>
      <c r="B531" s="11" t="s">
        <v>3036</v>
      </c>
      <c r="C531" s="36">
        <v>511000</v>
      </c>
      <c r="E531" s="3" t="s">
        <v>2363</v>
      </c>
      <c r="F531" s="19">
        <v>1447483</v>
      </c>
      <c r="G531" s="19">
        <v>1720593.75</v>
      </c>
      <c r="H531" s="19">
        <v>2036770.98</v>
      </c>
      <c r="I531" s="8">
        <v>1701975.63</v>
      </c>
      <c r="J531" s="9">
        <f>1795351.26+65</f>
        <v>1795416.26</v>
      </c>
      <c r="K531" s="10">
        <v>2102931.77</v>
      </c>
      <c r="L531" s="9">
        <v>1897828.41</v>
      </c>
      <c r="M531" s="9">
        <v>1887532.91</v>
      </c>
      <c r="N531" s="9">
        <v>1821123.28</v>
      </c>
      <c r="O531" s="9">
        <f>2060161-44276</f>
        <v>2015885</v>
      </c>
      <c r="P531" s="9">
        <v>2015885</v>
      </c>
      <c r="Q531" s="9">
        <v>2018969</v>
      </c>
    </row>
    <row r="532" spans="1:14" ht="14.25" customHeight="1" hidden="1">
      <c r="A532" s="3" t="s">
        <v>3037</v>
      </c>
      <c r="B532" s="11" t="s">
        <v>3038</v>
      </c>
      <c r="E532" s="3" t="s">
        <v>2370</v>
      </c>
      <c r="F532" s="19">
        <v>890</v>
      </c>
      <c r="G532" s="19">
        <v>750.5</v>
      </c>
      <c r="H532" s="19">
        <v>73.5</v>
      </c>
      <c r="I532" s="8">
        <v>152.25</v>
      </c>
      <c r="J532" s="8">
        <v>64.86</v>
      </c>
      <c r="K532" s="8">
        <v>0</v>
      </c>
      <c r="L532" s="9">
        <v>0</v>
      </c>
      <c r="M532" s="9">
        <v>0</v>
      </c>
      <c r="N532" s="9">
        <v>0</v>
      </c>
    </row>
    <row r="533" spans="2:14" ht="12.75" hidden="1">
      <c r="B533" s="11">
        <v>5568.1</v>
      </c>
      <c r="E533" s="3" t="s">
        <v>3039</v>
      </c>
      <c r="F533" s="19">
        <v>3996</v>
      </c>
      <c r="G533" s="19">
        <v>7725.96</v>
      </c>
      <c r="H533" s="19">
        <v>75830.2</v>
      </c>
      <c r="I533" s="8">
        <v>109226.05</v>
      </c>
      <c r="J533" s="8">
        <v>0</v>
      </c>
      <c r="K533" s="8">
        <v>0</v>
      </c>
      <c r="L533" s="9">
        <v>0</v>
      </c>
      <c r="M533" s="9">
        <v>0</v>
      </c>
      <c r="N533" s="9">
        <v>0</v>
      </c>
    </row>
    <row r="534" spans="2:11" ht="12.75" hidden="1">
      <c r="B534" s="50" t="s">
        <v>2305</v>
      </c>
      <c r="C534" s="49"/>
      <c r="D534" s="49"/>
      <c r="E534" s="3" t="s">
        <v>2304</v>
      </c>
      <c r="J534" s="9">
        <v>144838.65</v>
      </c>
      <c r="K534" s="8">
        <v>67.01</v>
      </c>
    </row>
    <row r="535" spans="1:17" ht="12.75">
      <c r="A535" s="3" t="s">
        <v>3040</v>
      </c>
      <c r="B535" s="11" t="s">
        <v>3041</v>
      </c>
      <c r="C535" s="36">
        <v>513000</v>
      </c>
      <c r="E535" s="3" t="s">
        <v>2186</v>
      </c>
      <c r="F535" s="19">
        <v>157879</v>
      </c>
      <c r="G535" s="19">
        <v>169444.01</v>
      </c>
      <c r="H535" s="19">
        <v>168328.12</v>
      </c>
      <c r="I535" s="8">
        <v>178665.58</v>
      </c>
      <c r="J535" s="9">
        <v>134606.81</v>
      </c>
      <c r="K535" s="8">
        <v>82782.24</v>
      </c>
      <c r="L535" s="9">
        <v>132217.3</v>
      </c>
      <c r="M535" s="9">
        <v>185676.53</v>
      </c>
      <c r="N535" s="9">
        <v>225523.2</v>
      </c>
      <c r="O535" s="9">
        <v>160000</v>
      </c>
      <c r="P535" s="9">
        <v>160000</v>
      </c>
      <c r="Q535" s="9">
        <v>180000</v>
      </c>
    </row>
    <row r="536" spans="1:14" ht="12.75" hidden="1">
      <c r="A536" s="3" t="s">
        <v>3042</v>
      </c>
      <c r="B536" s="11" t="s">
        <v>3043</v>
      </c>
      <c r="E536" s="3" t="s">
        <v>3044</v>
      </c>
      <c r="F536" s="19">
        <v>0</v>
      </c>
      <c r="G536" s="19">
        <v>0</v>
      </c>
      <c r="H536" s="19">
        <v>751.1</v>
      </c>
      <c r="I536" s="8">
        <v>0</v>
      </c>
      <c r="J536" s="9">
        <v>0</v>
      </c>
      <c r="K536" s="8">
        <v>0</v>
      </c>
      <c r="L536" s="9">
        <v>0</v>
      </c>
      <c r="M536" s="9">
        <v>0</v>
      </c>
      <c r="N536" s="9">
        <v>0</v>
      </c>
    </row>
    <row r="537" spans="2:14" ht="12.75" hidden="1">
      <c r="B537" s="50" t="s">
        <v>3045</v>
      </c>
      <c r="C537" s="49"/>
      <c r="D537" s="49"/>
      <c r="E537" s="3" t="s">
        <v>2809</v>
      </c>
      <c r="F537" s="19">
        <v>0</v>
      </c>
      <c r="G537" s="19">
        <v>0</v>
      </c>
      <c r="H537" s="19">
        <v>1058</v>
      </c>
      <c r="I537" s="8">
        <v>0</v>
      </c>
      <c r="J537" s="8">
        <v>1998</v>
      </c>
      <c r="K537" s="8">
        <v>0</v>
      </c>
      <c r="L537" s="9">
        <v>0</v>
      </c>
      <c r="M537" s="9">
        <v>0</v>
      </c>
      <c r="N537" s="9">
        <v>0</v>
      </c>
    </row>
    <row r="538" spans="2:14" ht="12.75" hidden="1">
      <c r="B538" s="50">
        <v>5571</v>
      </c>
      <c r="C538" s="49"/>
      <c r="D538" s="49"/>
      <c r="E538" s="3" t="s">
        <v>2808</v>
      </c>
      <c r="I538" s="8">
        <v>2100</v>
      </c>
      <c r="J538" s="8">
        <v>0</v>
      </c>
      <c r="K538" s="8">
        <v>0</v>
      </c>
      <c r="L538" s="9">
        <v>0</v>
      </c>
      <c r="M538" s="9">
        <v>0</v>
      </c>
      <c r="N538" s="9">
        <v>0</v>
      </c>
    </row>
    <row r="539" spans="2:17" ht="12.75">
      <c r="B539" s="50" t="s">
        <v>2307</v>
      </c>
      <c r="C539" s="49">
        <v>514002</v>
      </c>
      <c r="D539" s="49"/>
      <c r="E539" s="3" t="s">
        <v>2250</v>
      </c>
      <c r="I539" s="8">
        <v>17100</v>
      </c>
      <c r="J539" s="8">
        <v>0</v>
      </c>
      <c r="K539" s="8">
        <v>0</v>
      </c>
      <c r="L539" s="9">
        <v>10060.72</v>
      </c>
      <c r="M539" s="9">
        <v>12999.42</v>
      </c>
      <c r="N539" s="9">
        <v>18798.26</v>
      </c>
      <c r="O539" s="9">
        <v>5000</v>
      </c>
      <c r="P539" s="9">
        <v>5000</v>
      </c>
      <c r="Q539" s="9">
        <v>15000</v>
      </c>
    </row>
    <row r="540" spans="2:17" ht="12.75">
      <c r="B540" s="50"/>
      <c r="C540" s="49">
        <v>514200</v>
      </c>
      <c r="D540" s="49"/>
      <c r="E540" s="3" t="s">
        <v>658</v>
      </c>
      <c r="J540" s="8"/>
      <c r="P540" s="9">
        <v>15120</v>
      </c>
      <c r="Q540" s="9">
        <v>15120</v>
      </c>
    </row>
    <row r="541" spans="1:17" ht="12.75">
      <c r="A541" s="3" t="s">
        <v>3048</v>
      </c>
      <c r="B541" s="11" t="s">
        <v>3049</v>
      </c>
      <c r="C541" s="36">
        <v>514700</v>
      </c>
      <c r="E541" s="3" t="s">
        <v>3050</v>
      </c>
      <c r="F541" s="19">
        <v>56731</v>
      </c>
      <c r="G541" s="19">
        <v>58254.38</v>
      </c>
      <c r="H541" s="19">
        <v>80304.38</v>
      </c>
      <c r="I541" s="8">
        <v>73964.09</v>
      </c>
      <c r="J541" s="8">
        <v>79641.72</v>
      </c>
      <c r="K541" s="8">
        <v>83213.53</v>
      </c>
      <c r="L541" s="9">
        <v>79469.78</v>
      </c>
      <c r="M541" s="9">
        <v>78809.45</v>
      </c>
      <c r="N541" s="9">
        <v>74570.66</v>
      </c>
      <c r="O541" s="9">
        <v>80989</v>
      </c>
      <c r="P541" s="9">
        <v>80989</v>
      </c>
      <c r="Q541" s="9">
        <v>88017</v>
      </c>
    </row>
    <row r="542" spans="2:17" ht="12.75">
      <c r="B542" s="50">
        <v>5571.5</v>
      </c>
      <c r="C542" s="49">
        <v>514800</v>
      </c>
      <c r="D542" s="49"/>
      <c r="E542" s="3" t="s">
        <v>2288</v>
      </c>
      <c r="J542" s="8"/>
      <c r="L542" s="9">
        <v>22952.81</v>
      </c>
      <c r="M542" s="9">
        <v>17487.88</v>
      </c>
      <c r="N542" s="9">
        <v>30928.66</v>
      </c>
      <c r="O542" s="9">
        <v>33197</v>
      </c>
      <c r="P542" s="9">
        <v>33197</v>
      </c>
      <c r="Q542" s="9">
        <v>39064</v>
      </c>
    </row>
    <row r="543" spans="2:11" ht="12.75" hidden="1">
      <c r="B543" s="50" t="s">
        <v>2306</v>
      </c>
      <c r="C543" s="49"/>
      <c r="D543" s="49"/>
      <c r="E543" s="3" t="s">
        <v>285</v>
      </c>
      <c r="J543" s="8">
        <v>23500</v>
      </c>
      <c r="K543" s="8">
        <v>278.72</v>
      </c>
    </row>
    <row r="544" spans="1:17" ht="12.75">
      <c r="A544" s="3" t="s">
        <v>3051</v>
      </c>
      <c r="B544" s="11" t="s">
        <v>3052</v>
      </c>
      <c r="C544" s="36">
        <v>517900</v>
      </c>
      <c r="E544" s="3" t="s">
        <v>2219</v>
      </c>
      <c r="F544" s="19">
        <v>984</v>
      </c>
      <c r="G544" s="19">
        <v>984</v>
      </c>
      <c r="H544" s="19">
        <v>984</v>
      </c>
      <c r="I544" s="8">
        <v>0</v>
      </c>
      <c r="J544" s="8">
        <v>0</v>
      </c>
      <c r="K544" s="8">
        <v>0</v>
      </c>
      <c r="L544" s="9">
        <v>0</v>
      </c>
      <c r="O544" s="9">
        <v>0</v>
      </c>
      <c r="Q544" s="9">
        <v>853</v>
      </c>
    </row>
    <row r="545" spans="1:17" ht="12.75">
      <c r="A545" s="3" t="s">
        <v>3046</v>
      </c>
      <c r="B545" s="11" t="s">
        <v>3047</v>
      </c>
      <c r="C545" s="36">
        <v>514900</v>
      </c>
      <c r="E545" s="3" t="s">
        <v>2944</v>
      </c>
      <c r="F545" s="19">
        <v>63191</v>
      </c>
      <c r="G545" s="19">
        <v>71534.26</v>
      </c>
      <c r="H545" s="19">
        <v>88148.86</v>
      </c>
      <c r="I545" s="8">
        <v>72636.11</v>
      </c>
      <c r="J545" s="8">
        <v>80955.37</v>
      </c>
      <c r="K545" s="8">
        <v>89441.04</v>
      </c>
      <c r="L545" s="9">
        <v>85904.2</v>
      </c>
      <c r="M545" s="9">
        <v>83511.68</v>
      </c>
      <c r="N545" s="9">
        <v>77162.25</v>
      </c>
      <c r="O545" s="9">
        <v>93818</v>
      </c>
      <c r="P545" s="9">
        <v>93818</v>
      </c>
      <c r="Q545" s="9">
        <v>90417</v>
      </c>
    </row>
    <row r="546" spans="1:17" ht="12.75">
      <c r="A546" s="3" t="s">
        <v>3053</v>
      </c>
      <c r="B546" s="11" t="s">
        <v>3054</v>
      </c>
      <c r="C546" s="36">
        <v>517000</v>
      </c>
      <c r="E546" s="3" t="s">
        <v>2222</v>
      </c>
      <c r="F546" s="19">
        <v>221776</v>
      </c>
      <c r="G546" s="19">
        <v>199690</v>
      </c>
      <c r="H546" s="19">
        <v>302801</v>
      </c>
      <c r="I546" s="8">
        <v>272541</v>
      </c>
      <c r="J546" s="8">
        <v>370208</v>
      </c>
      <c r="K546" s="8">
        <v>408314</v>
      </c>
      <c r="L546" s="9">
        <v>421078</v>
      </c>
      <c r="M546" s="9">
        <v>408575.28</v>
      </c>
      <c r="N546" s="9">
        <v>449472</v>
      </c>
      <c r="O546" s="9">
        <v>483377</v>
      </c>
      <c r="P546" s="9">
        <v>483377</v>
      </c>
      <c r="Q546" s="9">
        <v>539194</v>
      </c>
    </row>
    <row r="547" spans="1:17" ht="12.75">
      <c r="A547" s="3" t="s">
        <v>3055</v>
      </c>
      <c r="B547" s="11" t="s">
        <v>3056</v>
      </c>
      <c r="C547" s="36">
        <v>517800</v>
      </c>
      <c r="E547" s="3" t="s">
        <v>2298</v>
      </c>
      <c r="F547" s="19">
        <v>13403</v>
      </c>
      <c r="G547" s="19">
        <v>15840</v>
      </c>
      <c r="H547" s="19">
        <v>18603</v>
      </c>
      <c r="I547" s="8">
        <v>18540</v>
      </c>
      <c r="J547" s="8">
        <v>21890</v>
      </c>
      <c r="K547" s="8">
        <v>26810</v>
      </c>
      <c r="L547" s="9">
        <v>26810</v>
      </c>
      <c r="M547" s="9">
        <v>22300</v>
      </c>
      <c r="N547" s="9">
        <v>22800</v>
      </c>
      <c r="O547" s="9">
        <v>22836</v>
      </c>
      <c r="P547" s="9">
        <v>22836</v>
      </c>
      <c r="Q547" s="9">
        <v>29330</v>
      </c>
    </row>
    <row r="548" spans="1:17" ht="12.75">
      <c r="A548" s="3" t="s">
        <v>3059</v>
      </c>
      <c r="B548" s="11" t="s">
        <v>3060</v>
      </c>
      <c r="C548" s="36">
        <v>519500</v>
      </c>
      <c r="E548" s="3" t="s">
        <v>3061</v>
      </c>
      <c r="F548" s="19">
        <v>10904</v>
      </c>
      <c r="G548" s="19">
        <v>16005.78</v>
      </c>
      <c r="H548" s="19">
        <v>23884.37</v>
      </c>
      <c r="I548" s="8">
        <v>15088.65</v>
      </c>
      <c r="J548" s="8">
        <v>15564.03</v>
      </c>
      <c r="K548" s="8">
        <v>2639.5</v>
      </c>
      <c r="L548" s="9">
        <v>14710.7</v>
      </c>
      <c r="M548" s="9">
        <v>18894.89</v>
      </c>
      <c r="N548" s="9">
        <v>24998.29</v>
      </c>
      <c r="O548" s="9">
        <v>30000</v>
      </c>
      <c r="P548" s="9">
        <v>30000</v>
      </c>
      <c r="Q548" s="9">
        <v>30000</v>
      </c>
    </row>
    <row r="549" spans="1:17" ht="12.75">
      <c r="A549" s="3" t="s">
        <v>3057</v>
      </c>
      <c r="B549" s="11" t="s">
        <v>3058</v>
      </c>
      <c r="C549" s="36">
        <v>519900</v>
      </c>
      <c r="E549" s="3" t="s">
        <v>2957</v>
      </c>
      <c r="F549" s="19">
        <v>26722</v>
      </c>
      <c r="G549" s="19">
        <v>26350</v>
      </c>
      <c r="H549" s="19">
        <v>30025</v>
      </c>
      <c r="I549" s="8">
        <v>16820.25</v>
      </c>
      <c r="J549" s="8">
        <v>74680.24</v>
      </c>
      <c r="K549" s="8">
        <v>54486.05</v>
      </c>
      <c r="L549" s="9">
        <v>50630.52</v>
      </c>
      <c r="M549" s="9">
        <v>54370.85</v>
      </c>
      <c r="N549" s="9">
        <v>50586.11</v>
      </c>
      <c r="O549" s="9">
        <v>54902</v>
      </c>
      <c r="P549" s="9">
        <v>54902</v>
      </c>
      <c r="Q549" s="9">
        <v>54767</v>
      </c>
    </row>
    <row r="550" spans="5:18" ht="12.75">
      <c r="E550" s="20" t="s">
        <v>2187</v>
      </c>
      <c r="F550" s="21">
        <f>SUM(F531:F548)</f>
        <v>1977237</v>
      </c>
      <c r="G550" s="21">
        <f>SUM(G531:G548)</f>
        <v>2260822.6399999997</v>
      </c>
      <c r="H550" s="21">
        <f>SUM(H531:H548)</f>
        <v>2797537.5100000002</v>
      </c>
      <c r="I550" s="22">
        <f aca="true" t="shared" si="117" ref="I550:N550">SUM(I531:I549)</f>
        <v>2478809.61</v>
      </c>
      <c r="J550" s="23">
        <f t="shared" si="117"/>
        <v>2743363.9400000004</v>
      </c>
      <c r="K550" s="23">
        <f t="shared" si="117"/>
        <v>2850963.86</v>
      </c>
      <c r="L550" s="7">
        <f t="shared" si="117"/>
        <v>2741662.4400000004</v>
      </c>
      <c r="M550" s="7">
        <f t="shared" si="117"/>
        <v>2770158.8900000006</v>
      </c>
      <c r="N550" s="7">
        <f t="shared" si="117"/>
        <v>2795962.71</v>
      </c>
      <c r="O550" s="7">
        <f>SUM(O531:O549)</f>
        <v>2980004</v>
      </c>
      <c r="P550" s="7">
        <f>SUM(P531:P549)</f>
        <v>2995124</v>
      </c>
      <c r="Q550" s="7">
        <f>SUM(Q531:Q549)</f>
        <v>3100731</v>
      </c>
      <c r="R550" s="7">
        <f>SUM(R531:R549)</f>
        <v>0</v>
      </c>
    </row>
    <row r="551" spans="3:4" ht="12.75">
      <c r="C551" s="196">
        <v>12132</v>
      </c>
      <c r="D551" s="196"/>
    </row>
    <row r="552" spans="1:17" ht="12.75">
      <c r="A552" s="3" t="s">
        <v>3062</v>
      </c>
      <c r="B552" s="11" t="s">
        <v>3063</v>
      </c>
      <c r="C552" s="36">
        <v>524400</v>
      </c>
      <c r="E552" s="3" t="s">
        <v>1297</v>
      </c>
      <c r="F552" s="19">
        <v>17549</v>
      </c>
      <c r="G552" s="19">
        <v>20824.86</v>
      </c>
      <c r="H552" s="19">
        <v>21000</v>
      </c>
      <c r="I552" s="8">
        <v>19118.17</v>
      </c>
      <c r="J552" s="8">
        <v>17073.96</v>
      </c>
      <c r="K552" s="8">
        <v>16998.64</v>
      </c>
      <c r="L552" s="9">
        <v>19555.39</v>
      </c>
      <c r="M552" s="9">
        <v>19764.94</v>
      </c>
      <c r="N552" s="9">
        <v>19126.66</v>
      </c>
      <c r="O552" s="9">
        <v>19365</v>
      </c>
      <c r="P552" s="9">
        <v>19365</v>
      </c>
      <c r="Q552" s="9">
        <v>19365</v>
      </c>
    </row>
    <row r="553" spans="1:17" ht="12.75">
      <c r="A553" s="3" t="s">
        <v>3066</v>
      </c>
      <c r="B553" s="11" t="s">
        <v>3067</v>
      </c>
      <c r="C553" s="36">
        <v>524900</v>
      </c>
      <c r="E553" s="3" t="s">
        <v>1298</v>
      </c>
      <c r="F553" s="19">
        <v>232</v>
      </c>
      <c r="G553" s="19">
        <v>483.17</v>
      </c>
      <c r="H553" s="19">
        <v>499.05</v>
      </c>
      <c r="I553" s="8">
        <v>737.75</v>
      </c>
      <c r="J553" s="9">
        <v>454.49</v>
      </c>
      <c r="K553" s="8">
        <v>329.23</v>
      </c>
      <c r="L553" s="9">
        <v>450</v>
      </c>
      <c r="M553" s="9">
        <v>426.13</v>
      </c>
      <c r="N553" s="9">
        <v>475</v>
      </c>
      <c r="O553" s="9">
        <v>500</v>
      </c>
      <c r="P553" s="9">
        <v>500</v>
      </c>
      <c r="Q553" s="9">
        <v>500</v>
      </c>
    </row>
    <row r="554" spans="1:17" ht="12.75">
      <c r="A554" s="3" t="s">
        <v>3068</v>
      </c>
      <c r="B554" s="11" t="s">
        <v>3069</v>
      </c>
      <c r="C554" s="36">
        <v>524900</v>
      </c>
      <c r="E554" s="3" t="s">
        <v>1299</v>
      </c>
      <c r="F554" s="19">
        <v>4550</v>
      </c>
      <c r="G554" s="19">
        <v>3695.6</v>
      </c>
      <c r="H554" s="19">
        <v>5954.13</v>
      </c>
      <c r="I554" s="8">
        <v>4113.66</v>
      </c>
      <c r="J554" s="8">
        <v>2542.95</v>
      </c>
      <c r="K554" s="8">
        <v>2611.45</v>
      </c>
      <c r="L554" s="9">
        <v>4427.82</v>
      </c>
      <c r="M554" s="9">
        <v>3501.91</v>
      </c>
      <c r="N554" s="9">
        <v>4496.73</v>
      </c>
      <c r="O554" s="9">
        <v>4500</v>
      </c>
      <c r="P554" s="9">
        <v>4500</v>
      </c>
      <c r="Q554" s="9">
        <v>4500</v>
      </c>
    </row>
    <row r="555" spans="1:17" ht="12.75">
      <c r="A555" s="3" t="s">
        <v>3070</v>
      </c>
      <c r="B555" s="11" t="s">
        <v>3071</v>
      </c>
      <c r="C555" s="36">
        <v>530001</v>
      </c>
      <c r="E555" s="3" t="s">
        <v>1300</v>
      </c>
      <c r="F555" s="19">
        <v>3376</v>
      </c>
      <c r="G555" s="19">
        <v>7710.37</v>
      </c>
      <c r="H555" s="19">
        <v>4452.29</v>
      </c>
      <c r="I555" s="8">
        <v>3136.11</v>
      </c>
      <c r="J555" s="9">
        <v>6591.35</v>
      </c>
      <c r="K555" s="8">
        <v>4722.27</v>
      </c>
      <c r="L555" s="9">
        <v>2836.4</v>
      </c>
      <c r="M555" s="9">
        <v>5809.42</v>
      </c>
      <c r="N555" s="9">
        <v>7504.33</v>
      </c>
      <c r="O555" s="9">
        <v>4000</v>
      </c>
      <c r="P555" s="9">
        <v>4000</v>
      </c>
      <c r="Q555" s="9">
        <v>8000</v>
      </c>
    </row>
    <row r="556" spans="1:17" ht="12.75">
      <c r="A556" s="3" t="s">
        <v>3064</v>
      </c>
      <c r="B556" s="11" t="s">
        <v>3065</v>
      </c>
      <c r="C556" s="36">
        <v>530600</v>
      </c>
      <c r="E556" s="3" t="s">
        <v>2476</v>
      </c>
      <c r="F556" s="19">
        <v>10380</v>
      </c>
      <c r="G556" s="19">
        <v>20287.42</v>
      </c>
      <c r="H556" s="19">
        <v>26647.95</v>
      </c>
      <c r="I556" s="8">
        <v>27825.73</v>
      </c>
      <c r="J556" s="8">
        <v>40652.16</v>
      </c>
      <c r="K556" s="8">
        <v>24135.64</v>
      </c>
      <c r="L556" s="9">
        <v>35548.24</v>
      </c>
      <c r="M556" s="9">
        <v>38049.08</v>
      </c>
      <c r="N556" s="9">
        <v>34499.04</v>
      </c>
      <c r="O556" s="9">
        <v>34923</v>
      </c>
      <c r="P556" s="9">
        <v>34923</v>
      </c>
      <c r="Q556" s="9">
        <v>34923</v>
      </c>
    </row>
    <row r="557" spans="1:17" ht="12.75">
      <c r="A557" s="3" t="s">
        <v>3072</v>
      </c>
      <c r="B557" s="11" t="s">
        <v>3073</v>
      </c>
      <c r="C557" s="36">
        <v>542100</v>
      </c>
      <c r="E557" s="3" t="s">
        <v>2335</v>
      </c>
      <c r="F557" s="19">
        <v>6046</v>
      </c>
      <c r="G557" s="19">
        <v>6038.36</v>
      </c>
      <c r="H557" s="19">
        <v>6038.65</v>
      </c>
      <c r="I557" s="8">
        <v>6928.79</v>
      </c>
      <c r="J557" s="9">
        <v>8282.73</v>
      </c>
      <c r="K557" s="8">
        <v>8731.8</v>
      </c>
      <c r="L557" s="9">
        <v>6882.36</v>
      </c>
      <c r="M557" s="9">
        <v>6971.65</v>
      </c>
      <c r="N557" s="9">
        <v>7222.93</v>
      </c>
      <c r="O557" s="9">
        <v>7050</v>
      </c>
      <c r="P557" s="9">
        <v>7050</v>
      </c>
      <c r="Q557" s="9">
        <v>7050</v>
      </c>
    </row>
    <row r="558" spans="1:17" ht="12.75">
      <c r="A558" s="3" t="s">
        <v>3077</v>
      </c>
      <c r="B558" s="11" t="s">
        <v>3078</v>
      </c>
      <c r="C558" s="36">
        <v>548000</v>
      </c>
      <c r="E558" s="3" t="s">
        <v>2991</v>
      </c>
      <c r="F558" s="19">
        <v>14568</v>
      </c>
      <c r="G558" s="19">
        <v>10939.75</v>
      </c>
      <c r="H558" s="19">
        <v>18372</v>
      </c>
      <c r="I558" s="8">
        <v>14872.56</v>
      </c>
      <c r="J558" s="8">
        <v>7108.74</v>
      </c>
      <c r="K558" s="8">
        <v>10506.9</v>
      </c>
      <c r="L558" s="9">
        <v>11098.75</v>
      </c>
      <c r="M558" s="9">
        <v>11625.95</v>
      </c>
      <c r="N558" s="9">
        <v>12948.41</v>
      </c>
      <c r="O558" s="9">
        <v>14700</v>
      </c>
      <c r="P558" s="9">
        <v>14700</v>
      </c>
      <c r="Q558" s="9">
        <v>14700</v>
      </c>
    </row>
    <row r="559" spans="1:17" ht="12.75">
      <c r="A559" s="3" t="s">
        <v>3079</v>
      </c>
      <c r="B559" s="11" t="s">
        <v>3080</v>
      </c>
      <c r="C559" s="36">
        <v>548900</v>
      </c>
      <c r="E559" s="3" t="s">
        <v>842</v>
      </c>
      <c r="F559" s="19">
        <v>24451</v>
      </c>
      <c r="G559" s="19">
        <v>8640.3</v>
      </c>
      <c r="H559" s="19">
        <v>24493.96</v>
      </c>
      <c r="I559" s="8">
        <v>22739.01</v>
      </c>
      <c r="J559" s="8">
        <v>23292.11</v>
      </c>
      <c r="K559" s="8">
        <v>23500</v>
      </c>
      <c r="L559" s="9">
        <v>21834.66</v>
      </c>
      <c r="M559" s="9">
        <v>25391.36</v>
      </c>
      <c r="N559" s="9">
        <v>28455</v>
      </c>
      <c r="O559" s="9">
        <v>57007</v>
      </c>
      <c r="P559" s="9">
        <v>57007</v>
      </c>
      <c r="Q559" s="9">
        <v>57007</v>
      </c>
    </row>
    <row r="560" spans="1:17" ht="12.75">
      <c r="A560" s="3" t="s">
        <v>3084</v>
      </c>
      <c r="B560" s="11" t="s">
        <v>3085</v>
      </c>
      <c r="C560" s="36">
        <v>550000</v>
      </c>
      <c r="E560" s="3" t="s">
        <v>3086</v>
      </c>
      <c r="F560" s="19">
        <v>1347</v>
      </c>
      <c r="G560" s="19">
        <v>1130.97</v>
      </c>
      <c r="H560" s="19">
        <v>1333.41</v>
      </c>
      <c r="I560" s="8">
        <v>1413.17</v>
      </c>
      <c r="J560" s="8">
        <v>1234.58</v>
      </c>
      <c r="K560" s="8">
        <v>1505.76</v>
      </c>
      <c r="L560" s="9">
        <v>1264.43</v>
      </c>
      <c r="M560" s="9">
        <v>1352</v>
      </c>
      <c r="N560" s="9">
        <v>1350.55</v>
      </c>
      <c r="O560" s="9">
        <v>1352</v>
      </c>
      <c r="P560" s="9">
        <v>1352</v>
      </c>
      <c r="Q560" s="9">
        <v>1352</v>
      </c>
    </row>
    <row r="561" spans="1:17" ht="12.75">
      <c r="A561" s="3" t="s">
        <v>3087</v>
      </c>
      <c r="B561" s="11" t="s">
        <v>3088</v>
      </c>
      <c r="C561" s="36">
        <v>558200</v>
      </c>
      <c r="E561" s="3" t="s">
        <v>1301</v>
      </c>
      <c r="F561" s="19">
        <v>787</v>
      </c>
      <c r="G561" s="19">
        <v>734.7</v>
      </c>
      <c r="H561" s="19">
        <v>496.39</v>
      </c>
      <c r="I561" s="8">
        <v>749.53</v>
      </c>
      <c r="J561" s="8">
        <v>525.95</v>
      </c>
      <c r="K561" s="8">
        <v>491.5</v>
      </c>
      <c r="L561" s="9">
        <v>800</v>
      </c>
      <c r="M561" s="9">
        <v>672</v>
      </c>
      <c r="N561" s="9">
        <v>383.77</v>
      </c>
      <c r="O561" s="9">
        <v>780</v>
      </c>
      <c r="P561" s="9">
        <v>780</v>
      </c>
      <c r="Q561" s="9">
        <v>780</v>
      </c>
    </row>
    <row r="562" spans="1:17" ht="12.75">
      <c r="A562" s="3" t="s">
        <v>3074</v>
      </c>
      <c r="B562" s="11" t="s">
        <v>3075</v>
      </c>
      <c r="C562" s="36">
        <v>558400</v>
      </c>
      <c r="E562" s="3" t="s">
        <v>3076</v>
      </c>
      <c r="F562" s="19">
        <v>7329</v>
      </c>
      <c r="G562" s="19">
        <v>8101.82</v>
      </c>
      <c r="H562" s="19">
        <v>6038.56</v>
      </c>
      <c r="I562" s="8">
        <v>16269.16</v>
      </c>
      <c r="J562" s="8">
        <v>7242.95</v>
      </c>
      <c r="K562" s="8">
        <v>7534.82</v>
      </c>
      <c r="L562" s="9">
        <v>6122.96</v>
      </c>
      <c r="M562" s="9">
        <v>6568.82</v>
      </c>
      <c r="N562" s="9">
        <v>6968</v>
      </c>
      <c r="O562" s="9">
        <v>7000</v>
      </c>
      <c r="P562" s="9">
        <v>7000</v>
      </c>
      <c r="Q562" s="9">
        <v>7000</v>
      </c>
    </row>
    <row r="563" spans="1:17" ht="12.75">
      <c r="A563" s="3" t="s">
        <v>3089</v>
      </c>
      <c r="B563" s="11" t="s">
        <v>3090</v>
      </c>
      <c r="C563" s="36">
        <v>558401</v>
      </c>
      <c r="E563" s="3" t="s">
        <v>1302</v>
      </c>
      <c r="F563" s="19">
        <v>487</v>
      </c>
      <c r="G563" s="19">
        <v>498.56</v>
      </c>
      <c r="H563" s="19">
        <v>694</v>
      </c>
      <c r="I563" s="8">
        <v>673.1</v>
      </c>
      <c r="J563" s="8">
        <v>669.66</v>
      </c>
      <c r="K563" s="8">
        <v>399.58</v>
      </c>
      <c r="L563" s="9">
        <v>479.23</v>
      </c>
      <c r="M563" s="9">
        <v>692.73</v>
      </c>
      <c r="N563" s="9">
        <v>693.5</v>
      </c>
      <c r="O563" s="9">
        <v>694</v>
      </c>
      <c r="P563" s="9">
        <v>694</v>
      </c>
      <c r="Q563" s="9">
        <v>694</v>
      </c>
    </row>
    <row r="564" spans="1:17" ht="12.75">
      <c r="A564" s="3" t="s">
        <v>3081</v>
      </c>
      <c r="B564" s="11" t="s">
        <v>3082</v>
      </c>
      <c r="C564" s="36">
        <v>558901</v>
      </c>
      <c r="E564" s="3" t="s">
        <v>3083</v>
      </c>
      <c r="F564" s="19">
        <v>339</v>
      </c>
      <c r="G564" s="19">
        <v>521.69</v>
      </c>
      <c r="H564" s="19">
        <v>599.26</v>
      </c>
      <c r="I564" s="8">
        <v>718.34</v>
      </c>
      <c r="J564" s="8">
        <v>750.92</v>
      </c>
      <c r="K564" s="8">
        <v>675.42</v>
      </c>
      <c r="L564" s="9">
        <v>507.62</v>
      </c>
      <c r="M564" s="9">
        <v>486.88</v>
      </c>
      <c r="N564" s="9">
        <v>574.56</v>
      </c>
      <c r="O564" s="9">
        <v>824</v>
      </c>
      <c r="P564" s="9">
        <v>824</v>
      </c>
      <c r="Q564" s="9">
        <v>824</v>
      </c>
    </row>
    <row r="565" spans="1:17" ht="12.75">
      <c r="A565" s="3" t="s">
        <v>3091</v>
      </c>
      <c r="B565" s="11" t="s">
        <v>3092</v>
      </c>
      <c r="C565" s="36">
        <v>571000</v>
      </c>
      <c r="E565" s="3" t="s">
        <v>2389</v>
      </c>
      <c r="F565" s="19">
        <v>2368</v>
      </c>
      <c r="G565" s="19">
        <v>1509.89</v>
      </c>
      <c r="H565" s="19">
        <v>3067.49</v>
      </c>
      <c r="I565" s="8">
        <v>1680.66</v>
      </c>
      <c r="J565" s="9">
        <v>1384.41</v>
      </c>
      <c r="K565" s="8">
        <v>1092.75</v>
      </c>
      <c r="L565" s="9">
        <v>1414.56</v>
      </c>
      <c r="M565" s="9">
        <v>1408.33</v>
      </c>
      <c r="N565" s="9">
        <v>1658.82</v>
      </c>
      <c r="O565" s="9">
        <v>2263</v>
      </c>
      <c r="P565" s="9">
        <v>2263</v>
      </c>
      <c r="Q565" s="9">
        <v>2263</v>
      </c>
    </row>
    <row r="566" spans="2:18" ht="12.75">
      <c r="B566" s="11" t="s">
        <v>3093</v>
      </c>
      <c r="E566" s="3" t="s">
        <v>3094</v>
      </c>
      <c r="F566" s="19">
        <v>0</v>
      </c>
      <c r="G566" s="19">
        <v>0</v>
      </c>
      <c r="H566" s="19">
        <v>0</v>
      </c>
      <c r="I566" s="8">
        <v>0</v>
      </c>
      <c r="J566" s="9">
        <v>0</v>
      </c>
      <c r="K566" s="8">
        <v>0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v>0</v>
      </c>
      <c r="R566" s="9">
        <v>0</v>
      </c>
    </row>
    <row r="567" spans="5:18" ht="12.75">
      <c r="E567" s="20" t="s">
        <v>2274</v>
      </c>
      <c r="F567" s="25">
        <f aca="true" t="shared" si="118" ref="F567:K567">SUM(F565:F566)</f>
        <v>2368</v>
      </c>
      <c r="G567" s="25">
        <f t="shared" si="118"/>
        <v>1509.89</v>
      </c>
      <c r="H567" s="25">
        <f t="shared" si="118"/>
        <v>3067.49</v>
      </c>
      <c r="I567" s="23">
        <f t="shared" si="118"/>
        <v>1680.66</v>
      </c>
      <c r="J567" s="23">
        <f t="shared" si="118"/>
        <v>1384.41</v>
      </c>
      <c r="K567" s="23">
        <f t="shared" si="118"/>
        <v>1092.75</v>
      </c>
      <c r="L567" s="7">
        <f>SUM(L552:L566)</f>
        <v>113222.41999999998</v>
      </c>
      <c r="M567" s="7">
        <f aca="true" t="shared" si="119" ref="M567:R567">SUM(M552:M566)</f>
        <v>122721.20000000001</v>
      </c>
      <c r="N567" s="7">
        <f t="shared" si="119"/>
        <v>126357.30000000002</v>
      </c>
      <c r="O567" s="7">
        <f t="shared" si="119"/>
        <v>154958</v>
      </c>
      <c r="P567" s="7">
        <f t="shared" si="119"/>
        <v>154958</v>
      </c>
      <c r="Q567" s="7">
        <f t="shared" si="119"/>
        <v>158958</v>
      </c>
      <c r="R567" s="7">
        <f t="shared" si="119"/>
        <v>0</v>
      </c>
    </row>
    <row r="568" spans="3:4" ht="12.75">
      <c r="C568" s="196">
        <v>12133</v>
      </c>
      <c r="D568" s="196"/>
    </row>
    <row r="569" spans="1:17" ht="12.75">
      <c r="A569" s="3" t="s">
        <v>3095</v>
      </c>
      <c r="B569" s="36">
        <v>5593</v>
      </c>
      <c r="C569" s="36">
        <v>587000</v>
      </c>
      <c r="E569" s="3" t="s">
        <v>3096</v>
      </c>
      <c r="F569" s="19">
        <v>0</v>
      </c>
      <c r="G569" s="19">
        <v>78389.25</v>
      </c>
      <c r="H569" s="19">
        <v>79414</v>
      </c>
      <c r="I569" s="8">
        <v>79403.72</v>
      </c>
      <c r="J569" s="8">
        <v>82214</v>
      </c>
      <c r="K569" s="8">
        <v>78419.02</v>
      </c>
      <c r="L569" s="9">
        <f>79414/3*2</f>
        <v>52942.666666666664</v>
      </c>
      <c r="M569" s="9">
        <v>0</v>
      </c>
      <c r="N569" s="9" t="s">
        <v>1333</v>
      </c>
      <c r="O569" s="9">
        <v>111600</v>
      </c>
      <c r="P569" s="9">
        <v>111600</v>
      </c>
      <c r="Q569" s="9">
        <v>120300</v>
      </c>
    </row>
    <row r="570" spans="1:11" ht="12.75" hidden="1">
      <c r="A570" s="3" t="s">
        <v>3097</v>
      </c>
      <c r="B570" s="36">
        <v>5594</v>
      </c>
      <c r="E570" s="3" t="s">
        <v>2276</v>
      </c>
      <c r="F570" s="19">
        <v>76461</v>
      </c>
      <c r="G570" s="19">
        <v>2945.5</v>
      </c>
      <c r="H570" s="19">
        <v>2991.78</v>
      </c>
      <c r="I570" s="8">
        <v>0</v>
      </c>
      <c r="J570" s="8">
        <v>7855.36</v>
      </c>
      <c r="K570" s="8">
        <v>0</v>
      </c>
    </row>
    <row r="571" spans="1:17" ht="12.75">
      <c r="A571" s="3" t="s">
        <v>3098</v>
      </c>
      <c r="B571" s="36">
        <v>5595</v>
      </c>
      <c r="C571" s="36">
        <v>587200</v>
      </c>
      <c r="E571" s="3" t="s">
        <v>1303</v>
      </c>
      <c r="F571" s="19">
        <v>5705</v>
      </c>
      <c r="G571" s="19">
        <v>6994.45</v>
      </c>
      <c r="H571" s="19">
        <v>6472.39</v>
      </c>
      <c r="I571" s="8">
        <v>357</v>
      </c>
      <c r="J571" s="8">
        <v>0</v>
      </c>
      <c r="K571" s="8">
        <v>0</v>
      </c>
      <c r="L571" s="9">
        <v>4837.6</v>
      </c>
      <c r="M571" s="9">
        <v>3704.13</v>
      </c>
      <c r="N571" s="9">
        <v>4966.2</v>
      </c>
      <c r="O571" s="9">
        <v>5000</v>
      </c>
      <c r="P571" s="9">
        <v>5000</v>
      </c>
      <c r="Q571" s="9">
        <v>5000</v>
      </c>
    </row>
    <row r="572" spans="2:18" ht="12.75" hidden="1">
      <c r="B572" s="11">
        <v>5596</v>
      </c>
      <c r="E572" s="3" t="s">
        <v>3099</v>
      </c>
      <c r="F572" s="19">
        <v>31150</v>
      </c>
      <c r="G572" s="19">
        <v>0</v>
      </c>
      <c r="H572" s="19">
        <v>4387.04</v>
      </c>
      <c r="I572" s="8">
        <v>0</v>
      </c>
      <c r="J572" s="8">
        <v>0</v>
      </c>
      <c r="K572" s="8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</row>
    <row r="573" spans="2:18" ht="12.75" hidden="1">
      <c r="B573" s="11">
        <v>5597</v>
      </c>
      <c r="E573" s="3" t="s">
        <v>3100</v>
      </c>
      <c r="F573" s="19">
        <v>0</v>
      </c>
      <c r="G573" s="19">
        <v>0</v>
      </c>
      <c r="H573" s="19">
        <v>3029.14</v>
      </c>
      <c r="I573" s="8">
        <v>0</v>
      </c>
      <c r="J573" s="9">
        <v>0</v>
      </c>
      <c r="K573" s="8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9">
        <v>0</v>
      </c>
    </row>
    <row r="574" spans="5:18" ht="12.75">
      <c r="E574" s="20" t="s">
        <v>2277</v>
      </c>
      <c r="F574" s="21">
        <f aca="true" t="shared" si="120" ref="F574:L574">SUM(F569:F573)</f>
        <v>113316</v>
      </c>
      <c r="G574" s="21">
        <f t="shared" si="120"/>
        <v>88329.2</v>
      </c>
      <c r="H574" s="21">
        <f t="shared" si="120"/>
        <v>96294.34999999999</v>
      </c>
      <c r="I574" s="22">
        <f t="shared" si="120"/>
        <v>79760.72</v>
      </c>
      <c r="J574" s="23">
        <f t="shared" si="120"/>
        <v>90069.36</v>
      </c>
      <c r="K574" s="23">
        <f t="shared" si="120"/>
        <v>78419.02</v>
      </c>
      <c r="L574" s="7">
        <f t="shared" si="120"/>
        <v>57780.26666666666</v>
      </c>
      <c r="M574" s="7">
        <f aca="true" t="shared" si="121" ref="M574:R574">SUM(M569:M573)</f>
        <v>3704.13</v>
      </c>
      <c r="N574" s="7">
        <f t="shared" si="121"/>
        <v>4966.2</v>
      </c>
      <c r="O574" s="7">
        <f t="shared" si="121"/>
        <v>116600</v>
      </c>
      <c r="P574" s="7">
        <f t="shared" si="121"/>
        <v>116600</v>
      </c>
      <c r="Q574" s="7">
        <f t="shared" si="121"/>
        <v>125300</v>
      </c>
      <c r="R574" s="7">
        <f t="shared" si="121"/>
        <v>0</v>
      </c>
    </row>
    <row r="575" spans="1:8" ht="7.5" customHeight="1">
      <c r="A575" s="3" t="s">
        <v>2931</v>
      </c>
      <c r="F575" s="37"/>
      <c r="G575" s="37"/>
      <c r="H575" s="37"/>
    </row>
    <row r="576" spans="1:18" ht="12.75">
      <c r="A576" s="3" t="s">
        <v>2931</v>
      </c>
      <c r="E576" s="2" t="s">
        <v>3101</v>
      </c>
      <c r="F576" s="31">
        <f aca="true" t="shared" si="122" ref="F576:K576">SUM(F531:F574)/2</f>
        <v>2152002.5</v>
      </c>
      <c r="G576" s="31">
        <f t="shared" si="122"/>
        <v>2408640.5149999997</v>
      </c>
      <c r="H576" s="31">
        <f t="shared" si="122"/>
        <v>2970221.675</v>
      </c>
      <c r="I576" s="28">
        <f t="shared" si="122"/>
        <v>2619898.53</v>
      </c>
      <c r="J576" s="28">
        <f t="shared" si="122"/>
        <v>2893028.9850000017</v>
      </c>
      <c r="K576" s="28">
        <f t="shared" si="122"/>
        <v>2981547.1349999993</v>
      </c>
      <c r="L576" s="32">
        <f>SUM(L531:L574)/2</f>
        <v>2912665.1266666674</v>
      </c>
      <c r="M576" s="32">
        <f aca="true" t="shared" si="123" ref="M576:R576">SUM(M531:M574)/2</f>
        <v>2896584.2200000016</v>
      </c>
      <c r="N576" s="32">
        <f t="shared" si="123"/>
        <v>2927286.21</v>
      </c>
      <c r="O576" s="32">
        <f t="shared" si="123"/>
        <v>3251562</v>
      </c>
      <c r="P576" s="32">
        <f t="shared" si="123"/>
        <v>3266682</v>
      </c>
      <c r="Q576" s="32">
        <f t="shared" si="123"/>
        <v>3384989</v>
      </c>
      <c r="R576" s="32">
        <f t="shared" si="123"/>
        <v>0</v>
      </c>
    </row>
    <row r="577" spans="1:5" ht="12.75">
      <c r="A577" s="3" t="s">
        <v>2931</v>
      </c>
      <c r="E577" s="38"/>
    </row>
    <row r="578" spans="1:5" ht="12.75">
      <c r="A578" s="3" t="s">
        <v>2180</v>
      </c>
      <c r="E578" s="163" t="s">
        <v>3102</v>
      </c>
    </row>
    <row r="579" spans="3:4" ht="12.75">
      <c r="C579" s="196">
        <v>12141</v>
      </c>
      <c r="D579" s="196"/>
    </row>
    <row r="580" spans="1:17" ht="12.75">
      <c r="A580" s="3" t="s">
        <v>3103</v>
      </c>
      <c r="B580" s="11" t="s">
        <v>3104</v>
      </c>
      <c r="C580" s="36">
        <v>511000</v>
      </c>
      <c r="E580" s="3" t="s">
        <v>1447</v>
      </c>
      <c r="F580" s="19">
        <v>127084</v>
      </c>
      <c r="G580" s="19">
        <v>120080.04</v>
      </c>
      <c r="H580" s="19">
        <v>142007.68</v>
      </c>
      <c r="I580" s="8">
        <v>148347.32</v>
      </c>
      <c r="J580" s="8">
        <v>154711.27</v>
      </c>
      <c r="K580" s="8">
        <v>161886.95</v>
      </c>
      <c r="L580" s="9">
        <v>160941.33</v>
      </c>
      <c r="M580" s="9">
        <v>170211.9</v>
      </c>
      <c r="N580" s="9">
        <v>178763.38</v>
      </c>
      <c r="O580" s="9">
        <v>184342</v>
      </c>
      <c r="P580" s="9">
        <v>184342</v>
      </c>
      <c r="Q580" s="9">
        <v>274682</v>
      </c>
    </row>
    <row r="581" spans="1:17" ht="12.75">
      <c r="A581" s="3" t="s">
        <v>3105</v>
      </c>
      <c r="B581" s="11" t="s">
        <v>3106</v>
      </c>
      <c r="C581" s="36">
        <v>511100</v>
      </c>
      <c r="E581" s="3" t="s">
        <v>2370</v>
      </c>
      <c r="F581" s="19">
        <v>131728</v>
      </c>
      <c r="G581" s="19">
        <v>147507.55</v>
      </c>
      <c r="H581" s="19">
        <v>155681.77</v>
      </c>
      <c r="I581" s="8">
        <v>149952.29</v>
      </c>
      <c r="J581" s="8">
        <v>154878.22</v>
      </c>
      <c r="K581" s="8">
        <v>152322.96</v>
      </c>
      <c r="L581" s="9">
        <v>145178.16</v>
      </c>
      <c r="M581" s="9">
        <v>142624.86</v>
      </c>
      <c r="N581" s="9">
        <v>145371</v>
      </c>
      <c r="O581" s="9">
        <v>184103</v>
      </c>
      <c r="P581" s="9">
        <v>184103</v>
      </c>
      <c r="Q581" s="9">
        <v>181970</v>
      </c>
    </row>
    <row r="582" spans="1:17" ht="12.75">
      <c r="A582" s="3" t="s">
        <v>3107</v>
      </c>
      <c r="B582" s="11" t="s">
        <v>3108</v>
      </c>
      <c r="C582" s="36">
        <v>513000</v>
      </c>
      <c r="E582" s="3" t="s">
        <v>2186</v>
      </c>
      <c r="F582" s="19">
        <v>4108</v>
      </c>
      <c r="G582" s="19">
        <v>5688.28</v>
      </c>
      <c r="H582" s="19">
        <v>4478.49</v>
      </c>
      <c r="I582" s="8">
        <v>6109.38</v>
      </c>
      <c r="J582" s="9">
        <v>5748.95</v>
      </c>
      <c r="K582" s="10">
        <v>2427.93</v>
      </c>
      <c r="L582" s="9">
        <v>5622.73</v>
      </c>
      <c r="M582" s="9">
        <v>6068.37</v>
      </c>
      <c r="N582" s="9">
        <v>7707.11</v>
      </c>
      <c r="O582" s="9">
        <v>7000</v>
      </c>
      <c r="P582" s="9">
        <v>7000</v>
      </c>
      <c r="Q582" s="9">
        <v>8000</v>
      </c>
    </row>
    <row r="583" spans="1:14" ht="12.75" hidden="1">
      <c r="A583" s="3" t="s">
        <v>3109</v>
      </c>
      <c r="B583" s="11" t="s">
        <v>3110</v>
      </c>
      <c r="E583" s="3" t="s">
        <v>2941</v>
      </c>
      <c r="F583" s="19">
        <v>0</v>
      </c>
      <c r="G583" s="19">
        <v>0</v>
      </c>
      <c r="H583" s="19">
        <v>0</v>
      </c>
      <c r="I583" s="8">
        <v>0</v>
      </c>
      <c r="J583" s="9">
        <v>0</v>
      </c>
      <c r="K583" s="10">
        <v>0</v>
      </c>
      <c r="L583" s="9">
        <v>0</v>
      </c>
      <c r="M583" s="9">
        <v>0</v>
      </c>
      <c r="N583" s="9">
        <v>0</v>
      </c>
    </row>
    <row r="584" spans="1:17" ht="12.75">
      <c r="A584" s="3" t="s">
        <v>3113</v>
      </c>
      <c r="B584" s="11" t="s">
        <v>3114</v>
      </c>
      <c r="C584" s="36">
        <v>514100</v>
      </c>
      <c r="E584" s="3" t="s">
        <v>3115</v>
      </c>
      <c r="F584" s="19">
        <v>250</v>
      </c>
      <c r="G584" s="19">
        <v>250</v>
      </c>
      <c r="H584" s="19">
        <v>250</v>
      </c>
      <c r="I584" s="8">
        <v>250</v>
      </c>
      <c r="J584" s="8">
        <v>250</v>
      </c>
      <c r="K584" s="10">
        <v>250</v>
      </c>
      <c r="L584" s="9">
        <v>1006.81</v>
      </c>
      <c r="M584" s="9">
        <v>250</v>
      </c>
      <c r="N584" s="9">
        <v>250</v>
      </c>
      <c r="O584" s="9">
        <v>250</v>
      </c>
      <c r="P584" s="9">
        <v>250</v>
      </c>
      <c r="Q584" s="9">
        <v>250</v>
      </c>
    </row>
    <row r="585" spans="2:17" ht="12.75">
      <c r="B585" s="40">
        <v>5620.5</v>
      </c>
      <c r="C585" s="36">
        <v>514800</v>
      </c>
      <c r="E585" s="3" t="s">
        <v>2288</v>
      </c>
      <c r="K585" s="10"/>
      <c r="M585" s="9">
        <v>4805.68</v>
      </c>
      <c r="N585" s="9">
        <v>5985.2</v>
      </c>
      <c r="O585" s="9">
        <v>6041</v>
      </c>
      <c r="P585" s="9">
        <v>6041</v>
      </c>
      <c r="Q585" s="9">
        <v>0</v>
      </c>
    </row>
    <row r="586" spans="1:17" ht="12.75">
      <c r="A586" s="3" t="s">
        <v>3111</v>
      </c>
      <c r="B586" s="11" t="s">
        <v>3112</v>
      </c>
      <c r="C586" s="36">
        <v>514900</v>
      </c>
      <c r="E586" s="3" t="s">
        <v>2944</v>
      </c>
      <c r="F586" s="19">
        <v>5812</v>
      </c>
      <c r="G586" s="19">
        <v>4655.49</v>
      </c>
      <c r="H586" s="19">
        <v>5656.11</v>
      </c>
      <c r="I586" s="8">
        <v>6734.3</v>
      </c>
      <c r="J586" s="8">
        <v>7077.98</v>
      </c>
      <c r="K586" s="10">
        <v>7268.58</v>
      </c>
      <c r="L586" s="9">
        <v>7311.28</v>
      </c>
      <c r="M586" s="9">
        <v>7739.8</v>
      </c>
      <c r="N586" s="9">
        <v>8114.16</v>
      </c>
      <c r="O586" s="9">
        <v>8431</v>
      </c>
      <c r="P586" s="9">
        <v>8431</v>
      </c>
      <c r="Q586" s="9">
        <v>8720</v>
      </c>
    </row>
    <row r="587" spans="1:17" ht="12.75">
      <c r="A587" s="3" t="s">
        <v>3120</v>
      </c>
      <c r="B587" s="11" t="s">
        <v>3121</v>
      </c>
      <c r="C587" s="36">
        <v>517000</v>
      </c>
      <c r="E587" s="3" t="s">
        <v>2222</v>
      </c>
      <c r="F587" s="19">
        <v>31528</v>
      </c>
      <c r="G587" s="19">
        <v>32494</v>
      </c>
      <c r="H587" s="19">
        <v>26261</v>
      </c>
      <c r="I587" s="8">
        <v>11585</v>
      </c>
      <c r="J587" s="8">
        <v>3665</v>
      </c>
      <c r="K587" s="10">
        <v>6960</v>
      </c>
      <c r="L587" s="9">
        <v>4118</v>
      </c>
      <c r="M587" s="9">
        <v>15030.37</v>
      </c>
      <c r="N587" s="9">
        <v>17765</v>
      </c>
      <c r="O587" s="9">
        <v>25450</v>
      </c>
      <c r="P587" s="9">
        <v>25450</v>
      </c>
      <c r="Q587" s="9">
        <v>27173</v>
      </c>
    </row>
    <row r="588" spans="1:15" ht="12.75" hidden="1">
      <c r="A588" s="3" t="s">
        <v>3118</v>
      </c>
      <c r="B588" s="11" t="s">
        <v>3119</v>
      </c>
      <c r="E588" s="3" t="s">
        <v>2219</v>
      </c>
      <c r="F588" s="19">
        <v>240</v>
      </c>
      <c r="G588" s="19">
        <v>240</v>
      </c>
      <c r="H588" s="19">
        <v>240</v>
      </c>
      <c r="I588" s="8">
        <v>0</v>
      </c>
      <c r="J588" s="8">
        <v>0</v>
      </c>
      <c r="K588" s="10">
        <v>0</v>
      </c>
      <c r="L588" s="9">
        <v>0</v>
      </c>
      <c r="M588" s="9">
        <v>0</v>
      </c>
      <c r="N588" s="9">
        <v>0</v>
      </c>
      <c r="O588" s="9">
        <v>0</v>
      </c>
    </row>
    <row r="589" spans="1:17" ht="12.75">
      <c r="A589" s="3" t="s">
        <v>3116</v>
      </c>
      <c r="B589" s="11" t="s">
        <v>3117</v>
      </c>
      <c r="C589" s="36">
        <v>517200</v>
      </c>
      <c r="E589" s="3" t="s">
        <v>2291</v>
      </c>
      <c r="F589" s="19">
        <v>7014</v>
      </c>
      <c r="G589" s="19">
        <v>5261</v>
      </c>
      <c r="H589" s="19">
        <v>5261</v>
      </c>
      <c r="I589" s="8">
        <v>5261</v>
      </c>
      <c r="J589" s="8">
        <v>5261</v>
      </c>
      <c r="K589" s="10">
        <v>5261</v>
      </c>
      <c r="L589" s="9">
        <v>5261</v>
      </c>
      <c r="M589" s="9">
        <v>1502</v>
      </c>
      <c r="N589" s="9">
        <v>1156</v>
      </c>
      <c r="O589" s="9">
        <v>2598</v>
      </c>
      <c r="P589" s="9">
        <v>2598</v>
      </c>
      <c r="Q589" s="9">
        <v>2728</v>
      </c>
    </row>
    <row r="590" spans="1:17" ht="12.75">
      <c r="A590" s="3" t="s">
        <v>3122</v>
      </c>
      <c r="B590" s="11" t="s">
        <v>3123</v>
      </c>
      <c r="C590" s="36">
        <v>517800</v>
      </c>
      <c r="E590" s="3" t="s">
        <v>2298</v>
      </c>
      <c r="F590" s="19">
        <v>1493</v>
      </c>
      <c r="G590" s="19">
        <v>1903</v>
      </c>
      <c r="H590" s="19">
        <v>1485</v>
      </c>
      <c r="I590" s="8">
        <v>1530</v>
      </c>
      <c r="J590" s="8">
        <v>2910</v>
      </c>
      <c r="K590" s="10">
        <v>2510</v>
      </c>
      <c r="L590" s="9">
        <v>2510</v>
      </c>
      <c r="M590" s="9">
        <v>2700</v>
      </c>
      <c r="N590" s="9">
        <v>2273</v>
      </c>
      <c r="O590" s="9">
        <v>2232</v>
      </c>
      <c r="P590" s="9">
        <v>2232</v>
      </c>
      <c r="Q590" s="9">
        <f>2867+1954</f>
        <v>4821</v>
      </c>
    </row>
    <row r="591" spans="1:17" ht="12.75">
      <c r="A591" s="3" t="s">
        <v>3126</v>
      </c>
      <c r="B591" s="11" t="s">
        <v>3127</v>
      </c>
      <c r="C591" s="36">
        <v>519500</v>
      </c>
      <c r="E591" s="3" t="s">
        <v>3061</v>
      </c>
      <c r="F591" s="19">
        <v>295</v>
      </c>
      <c r="G591" s="19">
        <v>32.24</v>
      </c>
      <c r="H591" s="19">
        <v>838.57</v>
      </c>
      <c r="I591" s="8">
        <v>390</v>
      </c>
      <c r="J591" s="8">
        <v>25</v>
      </c>
      <c r="K591" s="10">
        <v>0</v>
      </c>
      <c r="L591" s="9">
        <v>522.48</v>
      </c>
      <c r="M591" s="9">
        <v>229.14</v>
      </c>
      <c r="N591" s="9">
        <v>610</v>
      </c>
      <c r="O591" s="9">
        <v>853</v>
      </c>
      <c r="P591" s="9">
        <v>853</v>
      </c>
      <c r="Q591" s="9">
        <v>853</v>
      </c>
    </row>
    <row r="592" spans="1:17" ht="12.75">
      <c r="A592" s="3" t="s">
        <v>3124</v>
      </c>
      <c r="B592" s="11" t="s">
        <v>3125</v>
      </c>
      <c r="C592" s="36">
        <v>519900</v>
      </c>
      <c r="E592" s="3" t="s">
        <v>2957</v>
      </c>
      <c r="F592" s="19">
        <v>2375</v>
      </c>
      <c r="G592" s="19">
        <v>1975</v>
      </c>
      <c r="H592" s="19">
        <v>2075</v>
      </c>
      <c r="I592" s="8">
        <v>1545.52</v>
      </c>
      <c r="J592" s="8">
        <v>6384</v>
      </c>
      <c r="K592" s="10">
        <v>4539.6</v>
      </c>
      <c r="L592" s="9">
        <v>4567.96</v>
      </c>
      <c r="M592" s="9">
        <v>5309.92</v>
      </c>
      <c r="N592" s="9">
        <v>5583.76</v>
      </c>
      <c r="O592" s="9">
        <v>5530</v>
      </c>
      <c r="P592" s="9">
        <v>5530</v>
      </c>
      <c r="Q592" s="9">
        <v>5600</v>
      </c>
    </row>
    <row r="593" spans="5:18" ht="12.75">
      <c r="E593" s="20" t="s">
        <v>2187</v>
      </c>
      <c r="F593" s="21">
        <f aca="true" t="shared" si="124" ref="F593:L593">SUM(F580:F592)</f>
        <v>311927</v>
      </c>
      <c r="G593" s="21">
        <f t="shared" si="124"/>
        <v>320086.6</v>
      </c>
      <c r="H593" s="21">
        <f t="shared" si="124"/>
        <v>344234.61999999994</v>
      </c>
      <c r="I593" s="22">
        <f t="shared" si="124"/>
        <v>331704.81</v>
      </c>
      <c r="J593" s="23">
        <f t="shared" si="124"/>
        <v>340911.42</v>
      </c>
      <c r="K593" s="23">
        <f t="shared" si="124"/>
        <v>343427.02</v>
      </c>
      <c r="L593" s="7">
        <f t="shared" si="124"/>
        <v>337039.75</v>
      </c>
      <c r="M593" s="7">
        <f aca="true" t="shared" si="125" ref="M593:R593">SUM(M580:M592)</f>
        <v>356472.04</v>
      </c>
      <c r="N593" s="7">
        <f t="shared" si="125"/>
        <v>373578.61</v>
      </c>
      <c r="O593" s="7">
        <f t="shared" si="125"/>
        <v>426830</v>
      </c>
      <c r="P593" s="7">
        <f t="shared" si="125"/>
        <v>426830</v>
      </c>
      <c r="Q593" s="7">
        <f t="shared" si="125"/>
        <v>514797</v>
      </c>
      <c r="R593" s="7">
        <f t="shared" si="125"/>
        <v>0</v>
      </c>
    </row>
    <row r="594" spans="3:4" ht="12.75">
      <c r="C594" s="196">
        <v>12142</v>
      </c>
      <c r="D594" s="196"/>
    </row>
    <row r="595" spans="1:17" ht="12.75">
      <c r="A595" s="3" t="s">
        <v>3128</v>
      </c>
      <c r="B595" s="11" t="s">
        <v>3129</v>
      </c>
      <c r="C595" s="36">
        <v>524400</v>
      </c>
      <c r="E595" s="3" t="s">
        <v>1297</v>
      </c>
      <c r="F595" s="19">
        <v>3080</v>
      </c>
      <c r="G595" s="19">
        <v>3265.32</v>
      </c>
      <c r="H595" s="19">
        <v>3499.85</v>
      </c>
      <c r="I595" s="8">
        <v>3194.85</v>
      </c>
      <c r="J595" s="8">
        <v>3471.72</v>
      </c>
      <c r="K595" s="10">
        <v>3515.07</v>
      </c>
      <c r="L595" s="9">
        <v>3474.63</v>
      </c>
      <c r="M595" s="9">
        <v>3358.5</v>
      </c>
      <c r="N595" s="9">
        <v>3469.52</v>
      </c>
      <c r="O595" s="9">
        <v>3500</v>
      </c>
      <c r="P595" s="9">
        <v>3500</v>
      </c>
      <c r="Q595" s="9">
        <v>3500</v>
      </c>
    </row>
    <row r="596" spans="1:17" ht="12.75">
      <c r="A596" s="3" t="s">
        <v>3130</v>
      </c>
      <c r="B596" s="11" t="s">
        <v>3131</v>
      </c>
      <c r="C596" s="36">
        <v>524900</v>
      </c>
      <c r="E596" s="3" t="s">
        <v>1299</v>
      </c>
      <c r="F596" s="19">
        <v>1132</v>
      </c>
      <c r="G596" s="19">
        <v>996.03</v>
      </c>
      <c r="H596" s="19">
        <v>1194</v>
      </c>
      <c r="I596" s="8">
        <v>1157.73</v>
      </c>
      <c r="J596" s="8">
        <v>1030</v>
      </c>
      <c r="K596" s="10">
        <v>1187.36</v>
      </c>
      <c r="L596" s="9">
        <v>1002.82</v>
      </c>
      <c r="M596" s="9">
        <v>954.14</v>
      </c>
      <c r="N596" s="9">
        <v>1163.77</v>
      </c>
      <c r="O596" s="9">
        <v>1200</v>
      </c>
      <c r="P596" s="9">
        <v>1200</v>
      </c>
      <c r="Q596" s="9">
        <v>1200</v>
      </c>
    </row>
    <row r="597" spans="1:17" ht="12.75">
      <c r="A597" s="3" t="s">
        <v>3132</v>
      </c>
      <c r="B597" s="11" t="s">
        <v>3133</v>
      </c>
      <c r="C597" s="36">
        <v>542100</v>
      </c>
      <c r="E597" s="3" t="s">
        <v>2335</v>
      </c>
      <c r="F597" s="19">
        <v>2035</v>
      </c>
      <c r="G597" s="19">
        <v>2043.45</v>
      </c>
      <c r="H597" s="19">
        <v>2041.45</v>
      </c>
      <c r="I597" s="8">
        <v>2043.7</v>
      </c>
      <c r="J597" s="8">
        <v>2047.11</v>
      </c>
      <c r="K597" s="8">
        <v>2322.87</v>
      </c>
      <c r="L597" s="9">
        <v>2044.85</v>
      </c>
      <c r="M597" s="9">
        <v>2041.84</v>
      </c>
      <c r="N597" s="9">
        <v>2026.01</v>
      </c>
      <c r="O597" s="9">
        <v>2046</v>
      </c>
      <c r="P597" s="9">
        <v>2046</v>
      </c>
      <c r="Q597" s="9">
        <v>2046</v>
      </c>
    </row>
    <row r="598" spans="1:17" ht="12.75">
      <c r="A598" s="3" t="s">
        <v>3136</v>
      </c>
      <c r="B598" s="11" t="s">
        <v>3137</v>
      </c>
      <c r="C598" s="36">
        <v>548000</v>
      </c>
      <c r="E598" s="3" t="s">
        <v>2991</v>
      </c>
      <c r="F598" s="19">
        <v>3434</v>
      </c>
      <c r="G598" s="19">
        <v>3097.74</v>
      </c>
      <c r="H598" s="19">
        <v>3334.39</v>
      </c>
      <c r="I598" s="8">
        <v>3330.07</v>
      </c>
      <c r="J598" s="8">
        <v>3291.75</v>
      </c>
      <c r="K598" s="8">
        <v>3033.39</v>
      </c>
      <c r="L598" s="9">
        <v>2346.1</v>
      </c>
      <c r="M598" s="9">
        <v>3297.62</v>
      </c>
      <c r="N598" s="9">
        <v>3325.47</v>
      </c>
      <c r="O598" s="9">
        <v>3335</v>
      </c>
      <c r="P598" s="9">
        <v>3335</v>
      </c>
      <c r="Q598" s="9">
        <v>3335</v>
      </c>
    </row>
    <row r="599" spans="1:15" ht="12.75">
      <c r="A599" s="3" t="s">
        <v>3138</v>
      </c>
      <c r="B599" s="11" t="s">
        <v>3139</v>
      </c>
      <c r="C599" s="36">
        <v>548900</v>
      </c>
      <c r="E599" s="3" t="s">
        <v>842</v>
      </c>
      <c r="F599" s="19">
        <v>1368</v>
      </c>
      <c r="G599" s="19">
        <v>6393.06</v>
      </c>
      <c r="H599" s="19">
        <v>6838.54</v>
      </c>
      <c r="I599" s="8">
        <v>6373.07</v>
      </c>
      <c r="J599" s="8">
        <v>4124.88</v>
      </c>
      <c r="K599" s="8">
        <v>4103.62</v>
      </c>
      <c r="L599" s="9">
        <v>3835.43</v>
      </c>
      <c r="M599" s="9">
        <v>5908.61</v>
      </c>
      <c r="N599" s="9">
        <v>7047</v>
      </c>
      <c r="O599" s="9">
        <v>0</v>
      </c>
    </row>
    <row r="600" spans="1:17" ht="12.75">
      <c r="A600" s="3" t="s">
        <v>3140</v>
      </c>
      <c r="B600" s="11" t="s">
        <v>3141</v>
      </c>
      <c r="C600" s="36">
        <v>558200</v>
      </c>
      <c r="E600" s="3" t="s">
        <v>1301</v>
      </c>
      <c r="F600" s="19">
        <v>6521</v>
      </c>
      <c r="G600" s="19">
        <v>6354.79</v>
      </c>
      <c r="H600" s="19">
        <v>6754.3</v>
      </c>
      <c r="I600" s="8">
        <v>5571</v>
      </c>
      <c r="J600" s="9">
        <v>4239.25</v>
      </c>
      <c r="K600" s="8">
        <v>4385.45</v>
      </c>
      <c r="L600" s="9">
        <v>4598</v>
      </c>
      <c r="M600" s="9">
        <v>5042</v>
      </c>
      <c r="N600" s="9">
        <v>5036</v>
      </c>
      <c r="O600" s="9">
        <v>5000</v>
      </c>
      <c r="P600" s="9">
        <v>5000</v>
      </c>
      <c r="Q600" s="9">
        <v>5000</v>
      </c>
    </row>
    <row r="601" spans="1:17" ht="12.75">
      <c r="A601" s="3" t="s">
        <v>3134</v>
      </c>
      <c r="B601" s="11" t="s">
        <v>3135</v>
      </c>
      <c r="C601" s="36">
        <v>558400</v>
      </c>
      <c r="E601" s="3" t="s">
        <v>3076</v>
      </c>
      <c r="F601" s="19">
        <v>313</v>
      </c>
      <c r="G601" s="19">
        <v>412.65</v>
      </c>
      <c r="H601" s="19">
        <v>671.35</v>
      </c>
      <c r="I601" s="8">
        <v>631.16</v>
      </c>
      <c r="J601" s="8">
        <v>570.25</v>
      </c>
      <c r="K601" s="8">
        <v>484.07</v>
      </c>
      <c r="L601" s="9">
        <v>666.5</v>
      </c>
      <c r="M601" s="9">
        <v>626.97</v>
      </c>
      <c r="N601" s="9">
        <v>660.55</v>
      </c>
      <c r="O601" s="9">
        <v>680</v>
      </c>
      <c r="P601" s="9">
        <v>680</v>
      </c>
      <c r="Q601" s="9">
        <v>680</v>
      </c>
    </row>
    <row r="602" spans="1:17" ht="12.75">
      <c r="A602" s="3" t="s">
        <v>3142</v>
      </c>
      <c r="B602" s="11" t="s">
        <v>3143</v>
      </c>
      <c r="C602" s="36">
        <v>558401</v>
      </c>
      <c r="E602" s="3" t="s">
        <v>1302</v>
      </c>
      <c r="F602" s="19">
        <v>340</v>
      </c>
      <c r="G602" s="19">
        <v>341.23</v>
      </c>
      <c r="H602" s="19">
        <v>344.25</v>
      </c>
      <c r="I602" s="8">
        <v>370.5</v>
      </c>
      <c r="J602" s="8">
        <v>389.51</v>
      </c>
      <c r="K602" s="8">
        <v>286.84</v>
      </c>
      <c r="L602" s="9">
        <v>137.61</v>
      </c>
      <c r="M602" s="9">
        <v>242.84</v>
      </c>
      <c r="N602" s="9">
        <v>347.46</v>
      </c>
      <c r="O602" s="9">
        <v>360</v>
      </c>
      <c r="P602" s="9">
        <v>360</v>
      </c>
      <c r="Q602" s="9">
        <v>360</v>
      </c>
    </row>
    <row r="603" spans="1:17" ht="12.75">
      <c r="A603" s="3" t="s">
        <v>3144</v>
      </c>
      <c r="B603" s="11" t="s">
        <v>3145</v>
      </c>
      <c r="C603" s="36">
        <v>571000</v>
      </c>
      <c r="E603" s="3" t="s">
        <v>2389</v>
      </c>
      <c r="F603" s="19">
        <v>210</v>
      </c>
      <c r="G603" s="19">
        <v>0</v>
      </c>
      <c r="H603" s="19">
        <v>175</v>
      </c>
      <c r="I603" s="8">
        <v>196.81</v>
      </c>
      <c r="J603" s="8">
        <v>57.68</v>
      </c>
      <c r="K603" s="8">
        <v>34</v>
      </c>
      <c r="L603" s="9">
        <v>71.3</v>
      </c>
      <c r="M603" s="9">
        <v>197</v>
      </c>
      <c r="N603" s="9">
        <v>0</v>
      </c>
      <c r="O603" s="9">
        <v>210</v>
      </c>
      <c r="P603" s="9">
        <v>210</v>
      </c>
      <c r="Q603" s="9">
        <v>210</v>
      </c>
    </row>
    <row r="604" spans="5:18" ht="12.75">
      <c r="E604" s="20" t="s">
        <v>2274</v>
      </c>
      <c r="F604" s="25">
        <f aca="true" t="shared" si="126" ref="F604:K604">SUM(F603)</f>
        <v>210</v>
      </c>
      <c r="G604" s="25">
        <f t="shared" si="126"/>
        <v>0</v>
      </c>
      <c r="H604" s="25">
        <f t="shared" si="126"/>
        <v>175</v>
      </c>
      <c r="I604" s="23">
        <f t="shared" si="126"/>
        <v>196.81</v>
      </c>
      <c r="J604" s="23">
        <f t="shared" si="126"/>
        <v>57.68</v>
      </c>
      <c r="K604" s="23">
        <f t="shared" si="126"/>
        <v>34</v>
      </c>
      <c r="L604" s="7">
        <f>SUM(L595:L603)</f>
        <v>18177.24</v>
      </c>
      <c r="M604" s="7">
        <f aca="true" t="shared" si="127" ref="M604:R604">SUM(M595:M603)</f>
        <v>21669.52</v>
      </c>
      <c r="N604" s="7">
        <f t="shared" si="127"/>
        <v>23075.78</v>
      </c>
      <c r="O604" s="7">
        <f t="shared" si="127"/>
        <v>16331</v>
      </c>
      <c r="P604" s="7">
        <f t="shared" si="127"/>
        <v>16331</v>
      </c>
      <c r="Q604" s="7">
        <f t="shared" si="127"/>
        <v>16331</v>
      </c>
      <c r="R604" s="7">
        <f t="shared" si="127"/>
        <v>0</v>
      </c>
    </row>
    <row r="605" ht="6" customHeight="1"/>
    <row r="606" spans="1:18" ht="12.75" hidden="1">
      <c r="A606" s="3" t="s">
        <v>3146</v>
      </c>
      <c r="B606" s="11">
        <v>5638</v>
      </c>
      <c r="E606" s="3" t="s">
        <v>2276</v>
      </c>
      <c r="F606" s="19">
        <v>10652</v>
      </c>
      <c r="G606" s="19">
        <v>7158.37</v>
      </c>
      <c r="H606" s="19">
        <v>2718.07</v>
      </c>
      <c r="I606" s="8">
        <v>0</v>
      </c>
      <c r="J606" s="9">
        <v>0</v>
      </c>
      <c r="K606" s="10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</row>
    <row r="607" spans="1:18" ht="12.75" hidden="1">
      <c r="A607" s="3" t="s">
        <v>3147</v>
      </c>
      <c r="B607" s="11">
        <v>5639</v>
      </c>
      <c r="E607" s="3" t="s">
        <v>1303</v>
      </c>
      <c r="F607" s="19">
        <v>180</v>
      </c>
      <c r="G607" s="19">
        <v>2749.64</v>
      </c>
      <c r="H607" s="19">
        <v>3193.8</v>
      </c>
      <c r="I607" s="8">
        <v>4807.05</v>
      </c>
      <c r="J607" s="9">
        <v>0</v>
      </c>
      <c r="K607" s="10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</row>
    <row r="608" spans="5:18" ht="12.75" hidden="1">
      <c r="E608" s="20" t="s">
        <v>2277</v>
      </c>
      <c r="F608" s="21">
        <f aca="true" t="shared" si="128" ref="F608:L608">SUM(F606:F607)</f>
        <v>10832</v>
      </c>
      <c r="G608" s="21">
        <f t="shared" si="128"/>
        <v>9908.01</v>
      </c>
      <c r="H608" s="21">
        <f t="shared" si="128"/>
        <v>5911.870000000001</v>
      </c>
      <c r="I608" s="22">
        <f t="shared" si="128"/>
        <v>4807.05</v>
      </c>
      <c r="J608" s="23">
        <f t="shared" si="128"/>
        <v>0</v>
      </c>
      <c r="K608" s="23">
        <f t="shared" si="128"/>
        <v>0</v>
      </c>
      <c r="L608" s="7">
        <f t="shared" si="128"/>
        <v>0</v>
      </c>
      <c r="M608" s="7">
        <f aca="true" t="shared" si="129" ref="M608:R608">SUM(M606:M607)</f>
        <v>0</v>
      </c>
      <c r="N608" s="7">
        <f t="shared" si="129"/>
        <v>0</v>
      </c>
      <c r="O608" s="7">
        <f t="shared" si="129"/>
        <v>0</v>
      </c>
      <c r="P608" s="7">
        <f t="shared" si="129"/>
        <v>0</v>
      </c>
      <c r="Q608" s="7">
        <f t="shared" si="129"/>
        <v>0</v>
      </c>
      <c r="R608" s="7">
        <f t="shared" si="129"/>
        <v>0</v>
      </c>
    </row>
    <row r="609" ht="12.75">
      <c r="I609" s="10"/>
    </row>
    <row r="610" spans="1:18" ht="12.75">
      <c r="A610" s="3" t="s">
        <v>2931</v>
      </c>
      <c r="E610" s="38" t="s">
        <v>3148</v>
      </c>
      <c r="F610" s="31">
        <f aca="true" t="shared" si="130" ref="F610:K610">SUM(F580:F608)/2</f>
        <v>332080.5</v>
      </c>
      <c r="G610" s="31">
        <f t="shared" si="130"/>
        <v>341446.745</v>
      </c>
      <c r="H610" s="31">
        <f t="shared" si="130"/>
        <v>362660.55499999993</v>
      </c>
      <c r="I610" s="28">
        <f t="shared" si="130"/>
        <v>348044.71</v>
      </c>
      <c r="J610" s="28">
        <f t="shared" si="130"/>
        <v>350551.335</v>
      </c>
      <c r="K610" s="28">
        <f t="shared" si="130"/>
        <v>353120.3549999999</v>
      </c>
      <c r="L610" s="32">
        <f>SUM(L580:L608)/2</f>
        <v>355216.99</v>
      </c>
      <c r="M610" s="32">
        <f aca="true" t="shared" si="131" ref="M610:R610">SUM(M580:M608)/2</f>
        <v>378141.55999999994</v>
      </c>
      <c r="N610" s="32">
        <f t="shared" si="131"/>
        <v>396654.39</v>
      </c>
      <c r="O610" s="32">
        <f t="shared" si="131"/>
        <v>443161</v>
      </c>
      <c r="P610" s="32">
        <f t="shared" si="131"/>
        <v>443161</v>
      </c>
      <c r="Q610" s="32">
        <f t="shared" si="131"/>
        <v>531128</v>
      </c>
      <c r="R610" s="32">
        <f t="shared" si="131"/>
        <v>0</v>
      </c>
    </row>
    <row r="611" ht="12.75">
      <c r="E611" s="38"/>
    </row>
    <row r="612" ht="12.75">
      <c r="E612" s="38"/>
    </row>
    <row r="613" spans="1:5" ht="12.75">
      <c r="A613" s="3" t="s">
        <v>2180</v>
      </c>
      <c r="C613" s="196">
        <v>12151</v>
      </c>
      <c r="D613" s="196"/>
      <c r="E613" s="163" t="s">
        <v>3149</v>
      </c>
    </row>
    <row r="614" spans="1:17" ht="12.75">
      <c r="A614" s="3" t="s">
        <v>3150</v>
      </c>
      <c r="B614" s="11" t="s">
        <v>3151</v>
      </c>
      <c r="C614" s="36">
        <v>511000</v>
      </c>
      <c r="E614" s="3" t="s">
        <v>2363</v>
      </c>
      <c r="F614" s="19">
        <v>174251</v>
      </c>
      <c r="G614" s="19">
        <v>169904.61</v>
      </c>
      <c r="H614" s="19">
        <v>186055.78</v>
      </c>
      <c r="I614" s="8">
        <v>250810.8</v>
      </c>
      <c r="J614" s="8">
        <v>262237.43</v>
      </c>
      <c r="K614" s="8">
        <v>275582.57</v>
      </c>
      <c r="L614" s="9">
        <v>274572.79</v>
      </c>
      <c r="M614" s="9">
        <v>185645</v>
      </c>
      <c r="N614" s="9">
        <v>208547.08</v>
      </c>
      <c r="O614" s="9">
        <v>277271</v>
      </c>
      <c r="P614" s="9">
        <v>277271</v>
      </c>
      <c r="Q614" s="9">
        <v>237006</v>
      </c>
    </row>
    <row r="615" spans="1:17" ht="12.75">
      <c r="A615" s="3" t="s">
        <v>3152</v>
      </c>
      <c r="B615" s="11" t="s">
        <v>3153</v>
      </c>
      <c r="C615" s="36">
        <v>513000</v>
      </c>
      <c r="E615" s="3" t="s">
        <v>2186</v>
      </c>
      <c r="F615" s="19">
        <v>9352</v>
      </c>
      <c r="G615" s="19">
        <v>15272.22</v>
      </c>
      <c r="H615" s="19">
        <v>7707.8</v>
      </c>
      <c r="I615" s="8">
        <v>10376.85</v>
      </c>
      <c r="J615" s="9">
        <v>7250.98</v>
      </c>
      <c r="K615" s="10">
        <v>5275.32</v>
      </c>
      <c r="L615" s="9">
        <v>5726.87</v>
      </c>
      <c r="M615" s="9">
        <v>19696.11</v>
      </c>
      <c r="N615" s="9">
        <v>17133.14</v>
      </c>
      <c r="O615" s="9">
        <v>6025</v>
      </c>
      <c r="P615" s="9">
        <v>6025</v>
      </c>
      <c r="Q615" s="9">
        <v>10025</v>
      </c>
    </row>
    <row r="616" spans="1:14" ht="12.75" hidden="1">
      <c r="A616" s="3" t="s">
        <v>3154</v>
      </c>
      <c r="B616" s="11" t="s">
        <v>3155</v>
      </c>
      <c r="E616" s="3" t="s">
        <v>2941</v>
      </c>
      <c r="F616" s="19">
        <v>0</v>
      </c>
      <c r="G616" s="19">
        <v>0</v>
      </c>
      <c r="H616" s="19">
        <v>0</v>
      </c>
      <c r="I616" s="8">
        <v>0</v>
      </c>
      <c r="J616" s="9">
        <v>0</v>
      </c>
      <c r="K616" s="10">
        <v>0</v>
      </c>
      <c r="L616" s="9">
        <v>0</v>
      </c>
      <c r="M616" s="9">
        <v>0</v>
      </c>
      <c r="N616" s="9">
        <v>0</v>
      </c>
    </row>
    <row r="617" spans="1:17" ht="12.75">
      <c r="A617" s="3" t="s">
        <v>3158</v>
      </c>
      <c r="B617" s="11" t="s">
        <v>3159</v>
      </c>
      <c r="C617" s="36">
        <v>514100</v>
      </c>
      <c r="E617" s="3" t="s">
        <v>3115</v>
      </c>
      <c r="F617" s="19">
        <v>500</v>
      </c>
      <c r="G617" s="19">
        <v>500</v>
      </c>
      <c r="H617" s="19">
        <v>500</v>
      </c>
      <c r="I617" s="8">
        <v>500</v>
      </c>
      <c r="J617" s="8">
        <v>500</v>
      </c>
      <c r="K617" s="10">
        <v>500</v>
      </c>
      <c r="L617" s="9">
        <v>500</v>
      </c>
      <c r="M617" s="9">
        <v>500</v>
      </c>
      <c r="N617" s="9">
        <v>500</v>
      </c>
      <c r="O617" s="9">
        <v>500</v>
      </c>
      <c r="P617" s="9">
        <v>500</v>
      </c>
      <c r="Q617" s="9">
        <v>500</v>
      </c>
    </row>
    <row r="618" spans="1:17" ht="12.75">
      <c r="A618" s="3" t="s">
        <v>3156</v>
      </c>
      <c r="B618" s="11" t="s">
        <v>3157</v>
      </c>
      <c r="C618" s="36">
        <v>514900</v>
      </c>
      <c r="E618" s="3" t="s">
        <v>2944</v>
      </c>
      <c r="F618" s="19">
        <v>6876</v>
      </c>
      <c r="G618" s="19">
        <v>7763.29</v>
      </c>
      <c r="H618" s="19">
        <v>8547.5</v>
      </c>
      <c r="I618" s="8">
        <v>11528.19</v>
      </c>
      <c r="J618" s="8">
        <v>12000.82</v>
      </c>
      <c r="K618" s="10">
        <v>12382.79</v>
      </c>
      <c r="L618" s="9">
        <v>12414.61</v>
      </c>
      <c r="M618" s="9">
        <v>9762.53</v>
      </c>
      <c r="N618" s="9">
        <v>9524.48</v>
      </c>
      <c r="O618" s="9">
        <v>12682</v>
      </c>
      <c r="P618" s="9">
        <v>12682</v>
      </c>
      <c r="Q618" s="9">
        <v>10840</v>
      </c>
    </row>
    <row r="619" spans="1:15" ht="12.75" hidden="1">
      <c r="A619" s="3" t="s">
        <v>3160</v>
      </c>
      <c r="B619" s="11" t="s">
        <v>3161</v>
      </c>
      <c r="E619" s="3" t="s">
        <v>2219</v>
      </c>
      <c r="F619" s="19">
        <v>96</v>
      </c>
      <c r="G619" s="19">
        <v>96</v>
      </c>
      <c r="H619" s="19">
        <v>96</v>
      </c>
      <c r="I619" s="8">
        <v>0</v>
      </c>
      <c r="J619" s="8">
        <v>0</v>
      </c>
      <c r="K619" s="10">
        <v>0</v>
      </c>
      <c r="L619" s="9">
        <v>0</v>
      </c>
      <c r="M619" s="9">
        <v>0</v>
      </c>
      <c r="N619" s="9">
        <v>0</v>
      </c>
      <c r="O619" s="9">
        <v>0</v>
      </c>
    </row>
    <row r="620" spans="1:15" ht="12.75" hidden="1">
      <c r="A620" s="3" t="s">
        <v>3162</v>
      </c>
      <c r="B620" s="11" t="s">
        <v>3165</v>
      </c>
      <c r="E620" s="3" t="s">
        <v>2222</v>
      </c>
      <c r="F620" s="19">
        <v>3574</v>
      </c>
      <c r="G620" s="19">
        <v>0</v>
      </c>
      <c r="H620" s="19">
        <v>0</v>
      </c>
      <c r="I620" s="8">
        <v>0</v>
      </c>
      <c r="J620" s="8">
        <v>0</v>
      </c>
      <c r="K620" s="10">
        <v>0</v>
      </c>
      <c r="L620" s="9">
        <v>0</v>
      </c>
      <c r="M620" s="9">
        <v>0</v>
      </c>
      <c r="N620" s="9">
        <v>0</v>
      </c>
      <c r="O620" s="9">
        <v>0</v>
      </c>
    </row>
    <row r="621" spans="1:17" ht="12.75">
      <c r="A621" s="3" t="s">
        <v>3166</v>
      </c>
      <c r="B621" s="11" t="s">
        <v>3167</v>
      </c>
      <c r="C621" s="36">
        <v>517800</v>
      </c>
      <c r="E621" s="3" t="s">
        <v>3168</v>
      </c>
      <c r="F621" s="19">
        <v>0</v>
      </c>
      <c r="G621" s="19">
        <v>1804</v>
      </c>
      <c r="H621" s="19">
        <v>2739</v>
      </c>
      <c r="I621" s="8">
        <v>1640</v>
      </c>
      <c r="J621" s="8">
        <v>2180</v>
      </c>
      <c r="K621" s="10">
        <v>2610</v>
      </c>
      <c r="L621" s="9">
        <v>2610</v>
      </c>
      <c r="M621" s="9">
        <v>2210</v>
      </c>
      <c r="N621" s="9">
        <v>2250</v>
      </c>
      <c r="O621" s="9">
        <v>2400</v>
      </c>
      <c r="P621" s="9">
        <v>2400</v>
      </c>
      <c r="Q621" s="9">
        <v>3082</v>
      </c>
    </row>
    <row r="622" spans="1:17" ht="12.75">
      <c r="A622" s="3" t="s">
        <v>3170</v>
      </c>
      <c r="B622" s="11" t="s">
        <v>3171</v>
      </c>
      <c r="C622" s="36">
        <v>519900</v>
      </c>
      <c r="E622" s="3" t="s">
        <v>2957</v>
      </c>
      <c r="F622" s="19">
        <v>3193</v>
      </c>
      <c r="G622" s="19">
        <v>2925</v>
      </c>
      <c r="H622" s="19">
        <v>2925</v>
      </c>
      <c r="I622" s="8">
        <v>5162.48</v>
      </c>
      <c r="J622" s="8">
        <v>8597.45</v>
      </c>
      <c r="K622" s="10">
        <v>7962.05</v>
      </c>
      <c r="L622" s="9">
        <v>7979.36</v>
      </c>
      <c r="M622" s="9">
        <v>6259.37</v>
      </c>
      <c r="N622" s="9">
        <v>5937.86</v>
      </c>
      <c r="O622" s="9">
        <v>7645</v>
      </c>
      <c r="P622" s="9">
        <v>7645</v>
      </c>
      <c r="Q622" s="9">
        <v>6096</v>
      </c>
    </row>
    <row r="623" spans="5:18" ht="12.75">
      <c r="E623" s="20" t="s">
        <v>2187</v>
      </c>
      <c r="F623" s="21">
        <f aca="true" t="shared" si="132" ref="F623:L623">SUM(F614:F622)</f>
        <v>197842</v>
      </c>
      <c r="G623" s="21">
        <f t="shared" si="132"/>
        <v>198265.12</v>
      </c>
      <c r="H623" s="21">
        <f t="shared" si="132"/>
        <v>208571.08</v>
      </c>
      <c r="I623" s="22">
        <f t="shared" si="132"/>
        <v>280018.31999999995</v>
      </c>
      <c r="J623" s="23">
        <f t="shared" si="132"/>
        <v>292766.68</v>
      </c>
      <c r="K623" s="23">
        <f t="shared" si="132"/>
        <v>304312.73</v>
      </c>
      <c r="L623" s="7">
        <f t="shared" si="132"/>
        <v>303803.62999999995</v>
      </c>
      <c r="M623" s="7">
        <f aca="true" t="shared" si="133" ref="M623:R623">SUM(M614:M622)</f>
        <v>224073.00999999998</v>
      </c>
      <c r="N623" s="7">
        <f t="shared" si="133"/>
        <v>243892.55999999997</v>
      </c>
      <c r="O623" s="7">
        <f t="shared" si="133"/>
        <v>306523</v>
      </c>
      <c r="P623" s="7">
        <f t="shared" si="133"/>
        <v>306523</v>
      </c>
      <c r="Q623" s="7">
        <f t="shared" si="133"/>
        <v>267549</v>
      </c>
      <c r="R623" s="7">
        <f t="shared" si="133"/>
        <v>0</v>
      </c>
    </row>
    <row r="624" spans="3:4" ht="12.75">
      <c r="C624" s="196">
        <v>12152</v>
      </c>
      <c r="D624" s="196"/>
    </row>
    <row r="625" spans="1:17" ht="12.75">
      <c r="A625" s="3" t="s">
        <v>3172</v>
      </c>
      <c r="B625" s="11" t="s">
        <v>3173</v>
      </c>
      <c r="C625" s="36">
        <v>524400</v>
      </c>
      <c r="E625" s="3" t="s">
        <v>1297</v>
      </c>
      <c r="F625" s="19">
        <v>2834</v>
      </c>
      <c r="G625" s="19">
        <v>3218.36</v>
      </c>
      <c r="H625" s="19">
        <v>3494.46</v>
      </c>
      <c r="I625" s="10">
        <v>3498.38</v>
      </c>
      <c r="J625" s="10">
        <v>3356.67</v>
      </c>
      <c r="K625" s="10">
        <v>3484.7</v>
      </c>
      <c r="L625" s="9">
        <v>2896.97</v>
      </c>
      <c r="M625" s="9">
        <v>3340.39</v>
      </c>
      <c r="N625" s="9">
        <v>3500</v>
      </c>
      <c r="O625" s="9">
        <v>3500</v>
      </c>
      <c r="P625" s="9">
        <v>3500</v>
      </c>
      <c r="Q625" s="9">
        <v>3500</v>
      </c>
    </row>
    <row r="626" spans="1:17" ht="12.75">
      <c r="A626" s="3" t="s">
        <v>3174</v>
      </c>
      <c r="B626" s="11" t="s">
        <v>3175</v>
      </c>
      <c r="C626" s="36">
        <v>524900</v>
      </c>
      <c r="E626" s="3" t="s">
        <v>1299</v>
      </c>
      <c r="F626" s="19">
        <v>510</v>
      </c>
      <c r="G626" s="19">
        <v>416.76</v>
      </c>
      <c r="H626" s="19">
        <v>416.36</v>
      </c>
      <c r="I626" s="10">
        <v>324.96</v>
      </c>
      <c r="J626" s="10">
        <v>342.79</v>
      </c>
      <c r="K626" s="10">
        <v>395</v>
      </c>
      <c r="L626" s="9">
        <v>359.99</v>
      </c>
      <c r="M626" s="9">
        <v>340.87</v>
      </c>
      <c r="N626" s="9">
        <v>418.7</v>
      </c>
      <c r="O626" s="9">
        <v>430</v>
      </c>
      <c r="P626" s="9">
        <v>430</v>
      </c>
      <c r="Q626" s="9">
        <v>430</v>
      </c>
    </row>
    <row r="627" spans="1:17" ht="12.75">
      <c r="A627" s="3" t="s">
        <v>3176</v>
      </c>
      <c r="B627" s="11" t="s">
        <v>3177</v>
      </c>
      <c r="C627" s="36">
        <v>542100</v>
      </c>
      <c r="E627" s="3" t="s">
        <v>2335</v>
      </c>
      <c r="F627" s="19">
        <v>313</v>
      </c>
      <c r="G627" s="19">
        <v>690.29</v>
      </c>
      <c r="H627" s="19">
        <v>729.53</v>
      </c>
      <c r="I627" s="10">
        <v>729.18</v>
      </c>
      <c r="J627" s="10">
        <v>728.09</v>
      </c>
      <c r="K627" s="10">
        <v>640.58</v>
      </c>
      <c r="L627" s="9">
        <v>709.14</v>
      </c>
      <c r="M627" s="9">
        <v>713.77</v>
      </c>
      <c r="N627" s="9">
        <v>686.33</v>
      </c>
      <c r="O627" s="9">
        <v>730</v>
      </c>
      <c r="P627" s="9">
        <v>730</v>
      </c>
      <c r="Q627" s="9">
        <v>730</v>
      </c>
    </row>
    <row r="628" spans="1:17" ht="12.75">
      <c r="A628" s="3" t="s">
        <v>122</v>
      </c>
      <c r="B628" s="11" t="s">
        <v>123</v>
      </c>
      <c r="C628" s="36">
        <v>548000</v>
      </c>
      <c r="E628" s="3" t="s">
        <v>2991</v>
      </c>
      <c r="F628" s="19">
        <v>2530</v>
      </c>
      <c r="G628" s="19">
        <v>3042.02</v>
      </c>
      <c r="H628" s="19">
        <v>3124.38</v>
      </c>
      <c r="I628" s="10">
        <v>3108.35</v>
      </c>
      <c r="J628" s="10">
        <v>3133.95</v>
      </c>
      <c r="K628" s="10">
        <v>572.88</v>
      </c>
      <c r="L628" s="9">
        <v>1914.73</v>
      </c>
      <c r="M628" s="9">
        <v>2463.12</v>
      </c>
      <c r="N628" s="9">
        <v>2634</v>
      </c>
      <c r="O628" s="9">
        <v>2634</v>
      </c>
      <c r="P628" s="9">
        <v>2634</v>
      </c>
      <c r="Q628" s="9">
        <v>2634</v>
      </c>
    </row>
    <row r="629" spans="1:15" ht="12.75">
      <c r="A629" s="3" t="s">
        <v>124</v>
      </c>
      <c r="B629" s="11" t="s">
        <v>125</v>
      </c>
      <c r="C629" s="36">
        <v>548900</v>
      </c>
      <c r="E629" s="3" t="s">
        <v>842</v>
      </c>
      <c r="F629" s="19">
        <v>708</v>
      </c>
      <c r="G629" s="19">
        <v>2287.04</v>
      </c>
      <c r="H629" s="19">
        <v>539.06</v>
      </c>
      <c r="I629" s="10">
        <v>449.8</v>
      </c>
      <c r="J629" s="10">
        <v>2288</v>
      </c>
      <c r="K629" s="10">
        <v>1008.01</v>
      </c>
      <c r="L629" s="9">
        <v>2187.8</v>
      </c>
      <c r="M629" s="9">
        <v>2508</v>
      </c>
      <c r="N629" s="9">
        <v>2759</v>
      </c>
      <c r="O629" s="9">
        <v>0</v>
      </c>
    </row>
    <row r="630" spans="1:17" ht="12.75">
      <c r="A630" s="3" t="s">
        <v>126</v>
      </c>
      <c r="B630" s="11" t="s">
        <v>127</v>
      </c>
      <c r="C630" s="36">
        <v>558200</v>
      </c>
      <c r="E630" s="3" t="s">
        <v>2996</v>
      </c>
      <c r="F630" s="19">
        <v>92</v>
      </c>
      <c r="G630" s="19">
        <v>243.96</v>
      </c>
      <c r="H630" s="19">
        <v>31.96</v>
      </c>
      <c r="I630" s="10">
        <v>350</v>
      </c>
      <c r="J630" s="10">
        <v>225</v>
      </c>
      <c r="K630" s="10">
        <v>87</v>
      </c>
      <c r="L630" s="9">
        <v>0</v>
      </c>
      <c r="N630" s="9">
        <v>328.84</v>
      </c>
      <c r="O630" s="9">
        <v>350</v>
      </c>
      <c r="P630" s="9">
        <v>350</v>
      </c>
      <c r="Q630" s="9">
        <v>350</v>
      </c>
    </row>
    <row r="631" spans="1:17" ht="12.75">
      <c r="A631" s="3" t="s">
        <v>128</v>
      </c>
      <c r="B631" s="11" t="s">
        <v>129</v>
      </c>
      <c r="C631" s="36">
        <v>558401</v>
      </c>
      <c r="E631" s="3" t="s">
        <v>1302</v>
      </c>
      <c r="F631" s="19">
        <v>2803</v>
      </c>
      <c r="G631" s="19">
        <v>2788.58</v>
      </c>
      <c r="H631" s="19">
        <v>4759.47</v>
      </c>
      <c r="I631" s="10">
        <v>4869.35</v>
      </c>
      <c r="J631" s="9">
        <v>3741.38</v>
      </c>
      <c r="K631" s="10">
        <v>2679.41</v>
      </c>
      <c r="L631" s="9">
        <v>4259.59</v>
      </c>
      <c r="M631" s="9">
        <v>4315.66</v>
      </c>
      <c r="N631" s="9">
        <v>5010.62</v>
      </c>
      <c r="O631" s="9">
        <v>5069</v>
      </c>
      <c r="P631" s="9">
        <v>5069</v>
      </c>
      <c r="Q631" s="9">
        <v>5069</v>
      </c>
    </row>
    <row r="632" spans="1:18" ht="12.75" hidden="1">
      <c r="A632" s="3" t="s">
        <v>130</v>
      </c>
      <c r="B632" s="11" t="s">
        <v>131</v>
      </c>
      <c r="E632" s="3" t="s">
        <v>132</v>
      </c>
      <c r="F632" s="19">
        <v>0</v>
      </c>
      <c r="G632" s="19">
        <v>0</v>
      </c>
      <c r="H632" s="19">
        <v>0</v>
      </c>
      <c r="I632" s="10"/>
      <c r="J632" s="9">
        <v>0</v>
      </c>
      <c r="K632" s="10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9">
        <v>0</v>
      </c>
    </row>
    <row r="633" spans="1:17" ht="12.75">
      <c r="A633" s="3" t="s">
        <v>133</v>
      </c>
      <c r="B633" s="11" t="s">
        <v>134</v>
      </c>
      <c r="C633" s="36">
        <v>571000</v>
      </c>
      <c r="E633" s="3" t="s">
        <v>2389</v>
      </c>
      <c r="F633" s="19">
        <v>145</v>
      </c>
      <c r="G633" s="19">
        <v>100</v>
      </c>
      <c r="H633" s="19">
        <v>0</v>
      </c>
      <c r="I633" s="10">
        <v>39</v>
      </c>
      <c r="J633" s="10">
        <v>152.89</v>
      </c>
      <c r="K633" s="10">
        <v>56</v>
      </c>
      <c r="L633" s="9">
        <v>120</v>
      </c>
      <c r="M633" s="9">
        <v>78</v>
      </c>
      <c r="N633" s="9">
        <v>0</v>
      </c>
      <c r="O633" s="9">
        <v>135</v>
      </c>
      <c r="P633" s="9">
        <v>135</v>
      </c>
      <c r="Q633" s="9">
        <v>135</v>
      </c>
    </row>
    <row r="634" spans="2:18" ht="12.75">
      <c r="B634" s="50" t="s">
        <v>135</v>
      </c>
      <c r="C634" s="49"/>
      <c r="D634" s="49"/>
      <c r="E634" s="3" t="s">
        <v>136</v>
      </c>
      <c r="F634" s="19">
        <v>4500</v>
      </c>
      <c r="G634" s="19">
        <v>4500</v>
      </c>
      <c r="H634" s="19">
        <v>4500</v>
      </c>
      <c r="I634" s="10">
        <v>4000</v>
      </c>
      <c r="J634" s="10">
        <v>4000</v>
      </c>
      <c r="K634" s="10">
        <v>4500</v>
      </c>
      <c r="L634" s="9">
        <v>4000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9">
        <v>0</v>
      </c>
    </row>
    <row r="635" spans="5:18" ht="12.75">
      <c r="E635" s="20" t="s">
        <v>2274</v>
      </c>
      <c r="F635" s="25">
        <f aca="true" t="shared" si="134" ref="F635:K635">SUM(F633+F634)</f>
        <v>4645</v>
      </c>
      <c r="G635" s="25">
        <f t="shared" si="134"/>
        <v>4600</v>
      </c>
      <c r="H635" s="25">
        <f t="shared" si="134"/>
        <v>4500</v>
      </c>
      <c r="I635" s="23">
        <f t="shared" si="134"/>
        <v>4039</v>
      </c>
      <c r="J635" s="23">
        <f t="shared" si="134"/>
        <v>4152.89</v>
      </c>
      <c r="K635" s="23">
        <f t="shared" si="134"/>
        <v>4556</v>
      </c>
      <c r="L635" s="7">
        <f>SUM(L625:L634)</f>
        <v>16448.22</v>
      </c>
      <c r="M635" s="7">
        <f aca="true" t="shared" si="135" ref="M635:R635">SUM(M625:M634)</f>
        <v>13759.81</v>
      </c>
      <c r="N635" s="7">
        <f t="shared" si="135"/>
        <v>15337.489999999998</v>
      </c>
      <c r="O635" s="7">
        <f t="shared" si="135"/>
        <v>12848</v>
      </c>
      <c r="P635" s="7">
        <f t="shared" si="135"/>
        <v>12848</v>
      </c>
      <c r="Q635" s="7">
        <f t="shared" si="135"/>
        <v>12848</v>
      </c>
      <c r="R635" s="7">
        <f t="shared" si="135"/>
        <v>0</v>
      </c>
    </row>
    <row r="636" ht="6" customHeight="1"/>
    <row r="637" spans="1:18" ht="12.75" hidden="1">
      <c r="A637" s="3" t="s">
        <v>137</v>
      </c>
      <c r="B637" s="11" t="s">
        <v>138</v>
      </c>
      <c r="E637" s="3" t="s">
        <v>3009</v>
      </c>
      <c r="F637" s="19">
        <v>1776</v>
      </c>
      <c r="G637" s="19">
        <v>5255</v>
      </c>
      <c r="H637" s="19">
        <v>7894.47</v>
      </c>
      <c r="I637" s="8">
        <v>0</v>
      </c>
      <c r="J637" s="9">
        <v>0</v>
      </c>
      <c r="K637" s="10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0</v>
      </c>
      <c r="R637" s="9">
        <v>0</v>
      </c>
    </row>
    <row r="638" spans="5:18" ht="12.75" hidden="1">
      <c r="E638" s="20" t="s">
        <v>2277</v>
      </c>
      <c r="F638" s="25">
        <f aca="true" t="shared" si="136" ref="F638:L638">SUM(F637)</f>
        <v>1776</v>
      </c>
      <c r="G638" s="25">
        <f t="shared" si="136"/>
        <v>5255</v>
      </c>
      <c r="H638" s="25">
        <f t="shared" si="136"/>
        <v>7894.47</v>
      </c>
      <c r="I638" s="23">
        <f t="shared" si="136"/>
        <v>0</v>
      </c>
      <c r="J638" s="23">
        <f t="shared" si="136"/>
        <v>0</v>
      </c>
      <c r="K638" s="23">
        <f t="shared" si="136"/>
        <v>0</v>
      </c>
      <c r="L638" s="7">
        <f t="shared" si="136"/>
        <v>0</v>
      </c>
      <c r="M638" s="7">
        <f aca="true" t="shared" si="137" ref="M638:R638">SUM(M637)</f>
        <v>0</v>
      </c>
      <c r="N638" s="7">
        <f t="shared" si="137"/>
        <v>0</v>
      </c>
      <c r="O638" s="7">
        <f t="shared" si="137"/>
        <v>0</v>
      </c>
      <c r="P638" s="7">
        <f t="shared" si="137"/>
        <v>0</v>
      </c>
      <c r="Q638" s="7">
        <f t="shared" si="137"/>
        <v>0</v>
      </c>
      <c r="R638" s="7">
        <f t="shared" si="137"/>
        <v>0</v>
      </c>
    </row>
    <row r="639" ht="12.75">
      <c r="I639" s="10"/>
    </row>
    <row r="640" spans="5:18" ht="12.75">
      <c r="E640" s="30" t="s">
        <v>152</v>
      </c>
      <c r="F640" s="31">
        <f aca="true" t="shared" si="138" ref="F640:K640">SUM(F614:F638)/2</f>
        <v>209158</v>
      </c>
      <c r="G640" s="31">
        <f t="shared" si="138"/>
        <v>214463.625</v>
      </c>
      <c r="H640" s="31">
        <f t="shared" si="138"/>
        <v>227513.15999999997</v>
      </c>
      <c r="I640" s="28">
        <f t="shared" si="138"/>
        <v>290722.32999999996</v>
      </c>
      <c r="J640" s="28">
        <f t="shared" si="138"/>
        <v>303827.51</v>
      </c>
      <c r="K640" s="28">
        <f t="shared" si="138"/>
        <v>313302.51999999996</v>
      </c>
      <c r="L640" s="32">
        <f>SUM(L614:L638)/2</f>
        <v>320251.8499999999</v>
      </c>
      <c r="M640" s="32">
        <f aca="true" t="shared" si="139" ref="M640:R640">SUM(M614:M638)/2</f>
        <v>237832.81999999998</v>
      </c>
      <c r="N640" s="32">
        <f t="shared" si="139"/>
        <v>259230.05</v>
      </c>
      <c r="O640" s="32">
        <f t="shared" si="139"/>
        <v>319371</v>
      </c>
      <c r="P640" s="32">
        <f t="shared" si="139"/>
        <v>319371</v>
      </c>
      <c r="Q640" s="32">
        <f t="shared" si="139"/>
        <v>280397</v>
      </c>
      <c r="R640" s="32">
        <f t="shared" si="139"/>
        <v>0</v>
      </c>
    </row>
    <row r="641" ht="12.75">
      <c r="E641" s="38"/>
    </row>
    <row r="642" spans="1:5" ht="12.75">
      <c r="A642" s="3" t="s">
        <v>2180</v>
      </c>
      <c r="E642" s="163" t="s">
        <v>153</v>
      </c>
    </row>
    <row r="643" spans="3:4" ht="12.75">
      <c r="C643" s="196">
        <v>12161</v>
      </c>
      <c r="D643" s="196"/>
    </row>
    <row r="644" spans="1:17" ht="12.75">
      <c r="A644" s="3" t="s">
        <v>154</v>
      </c>
      <c r="B644" s="11" t="s">
        <v>155</v>
      </c>
      <c r="C644" s="36">
        <v>511000</v>
      </c>
      <c r="E644" s="3" t="s">
        <v>2363</v>
      </c>
      <c r="F644" s="19">
        <v>168949</v>
      </c>
      <c r="G644" s="19">
        <v>179647.26</v>
      </c>
      <c r="H644" s="19">
        <v>208203.87</v>
      </c>
      <c r="I644" s="8">
        <v>200869.19</v>
      </c>
      <c r="J644" s="8">
        <v>199622.83</v>
      </c>
      <c r="K644" s="8">
        <v>226477.79</v>
      </c>
      <c r="L644" s="9">
        <v>227325.53</v>
      </c>
      <c r="M644" s="9">
        <v>230816.26</v>
      </c>
      <c r="N644" s="9">
        <v>244331.06</v>
      </c>
      <c r="O644" s="9">
        <v>197469</v>
      </c>
      <c r="P644" s="9">
        <v>197469</v>
      </c>
      <c r="Q644" s="9">
        <v>222763</v>
      </c>
    </row>
    <row r="645" spans="1:17" ht="12.75">
      <c r="A645" s="3" t="s">
        <v>156</v>
      </c>
      <c r="B645" s="11" t="s">
        <v>157</v>
      </c>
      <c r="C645" s="36">
        <v>513000</v>
      </c>
      <c r="E645" s="3" t="s">
        <v>2186</v>
      </c>
      <c r="F645" s="19">
        <v>8319</v>
      </c>
      <c r="G645" s="19">
        <v>9539.9</v>
      </c>
      <c r="H645" s="19">
        <v>7889.76</v>
      </c>
      <c r="I645" s="8">
        <v>9857.77</v>
      </c>
      <c r="J645" s="9">
        <v>7648.29</v>
      </c>
      <c r="K645" s="10">
        <v>2718.14</v>
      </c>
      <c r="L645" s="9">
        <v>5489.21</v>
      </c>
      <c r="M645" s="9">
        <v>4939.8</v>
      </c>
      <c r="N645" s="9">
        <v>7684.93</v>
      </c>
      <c r="O645" s="9">
        <v>5205</v>
      </c>
      <c r="P645" s="9">
        <v>5205</v>
      </c>
      <c r="Q645" s="9">
        <v>7205</v>
      </c>
    </row>
    <row r="646" spans="1:14" ht="12.75" hidden="1">
      <c r="A646" s="3" t="s">
        <v>158</v>
      </c>
      <c r="B646" s="11" t="s">
        <v>159</v>
      </c>
      <c r="E646" s="3" t="s">
        <v>2941</v>
      </c>
      <c r="F646" s="19">
        <v>0</v>
      </c>
      <c r="G646" s="19">
        <v>0</v>
      </c>
      <c r="H646" s="19">
        <v>0</v>
      </c>
      <c r="I646" s="8">
        <v>0</v>
      </c>
      <c r="J646" s="9">
        <v>0</v>
      </c>
      <c r="K646" s="10">
        <v>0</v>
      </c>
      <c r="L646" s="9">
        <v>0</v>
      </c>
      <c r="M646" s="9">
        <v>0</v>
      </c>
      <c r="N646" s="9">
        <v>0</v>
      </c>
    </row>
    <row r="647" spans="1:17" ht="12.75">
      <c r="A647" s="3" t="s">
        <v>160</v>
      </c>
      <c r="B647" s="11" t="s">
        <v>161</v>
      </c>
      <c r="C647" s="36">
        <v>514900</v>
      </c>
      <c r="E647" s="3" t="s">
        <v>2944</v>
      </c>
      <c r="F647" s="19">
        <v>6386</v>
      </c>
      <c r="G647" s="19">
        <v>6625.61</v>
      </c>
      <c r="H647" s="19">
        <v>6610.84</v>
      </c>
      <c r="I647" s="8">
        <v>7068.7</v>
      </c>
      <c r="J647" s="8">
        <v>7902.46</v>
      </c>
      <c r="K647" s="10">
        <v>8173.22</v>
      </c>
      <c r="L647" s="9">
        <v>8300.85</v>
      </c>
      <c r="M647" s="9">
        <v>8467.04</v>
      </c>
      <c r="N647" s="9">
        <v>8980.48</v>
      </c>
      <c r="O647" s="9">
        <v>6862</v>
      </c>
      <c r="P647" s="9">
        <v>6862</v>
      </c>
      <c r="Q647" s="9">
        <v>8019</v>
      </c>
    </row>
    <row r="648" spans="1:17" ht="12.75">
      <c r="A648" s="3" t="s">
        <v>167</v>
      </c>
      <c r="B648" s="11" t="s">
        <v>168</v>
      </c>
      <c r="C648" s="36">
        <v>517000</v>
      </c>
      <c r="E648" s="3" t="s">
        <v>2222</v>
      </c>
      <c r="F648" s="19">
        <v>12573</v>
      </c>
      <c r="G648" s="19">
        <v>11944</v>
      </c>
      <c r="H648" s="19">
        <v>13831</v>
      </c>
      <c r="I648" s="8">
        <v>3978</v>
      </c>
      <c r="J648" s="8">
        <v>5495</v>
      </c>
      <c r="K648" s="10">
        <v>6960</v>
      </c>
      <c r="L648" s="9">
        <v>4118</v>
      </c>
      <c r="M648" s="9">
        <v>4040.32</v>
      </c>
      <c r="N648" s="9">
        <v>4776</v>
      </c>
      <c r="O648" s="9">
        <v>5404</v>
      </c>
      <c r="P648" s="9">
        <v>5404</v>
      </c>
      <c r="Q648" s="9">
        <v>5770</v>
      </c>
    </row>
    <row r="649" spans="1:15" ht="12.75" hidden="1">
      <c r="A649" s="3" t="s">
        <v>164</v>
      </c>
      <c r="B649" s="11" t="s">
        <v>165</v>
      </c>
      <c r="E649" s="3" t="s">
        <v>2219</v>
      </c>
      <c r="F649" s="19">
        <v>96</v>
      </c>
      <c r="G649" s="19">
        <v>96</v>
      </c>
      <c r="H649" s="19">
        <v>96</v>
      </c>
      <c r="I649" s="8">
        <v>0</v>
      </c>
      <c r="J649" s="8">
        <v>0</v>
      </c>
      <c r="K649" s="10">
        <v>0</v>
      </c>
      <c r="L649" s="9">
        <v>0</v>
      </c>
      <c r="M649" s="9">
        <v>0</v>
      </c>
      <c r="N649" s="9">
        <v>0</v>
      </c>
      <c r="O649" s="9">
        <v>0</v>
      </c>
    </row>
    <row r="650" spans="1:17" ht="12.75">
      <c r="A650" s="3" t="s">
        <v>162</v>
      </c>
      <c r="B650" s="11" t="s">
        <v>163</v>
      </c>
      <c r="C650" s="36">
        <v>517200</v>
      </c>
      <c r="E650" s="3" t="s">
        <v>2291</v>
      </c>
      <c r="F650" s="19">
        <v>1513</v>
      </c>
      <c r="G650" s="19">
        <v>1135</v>
      </c>
      <c r="H650" s="19">
        <v>1135</v>
      </c>
      <c r="I650" s="8">
        <v>1135</v>
      </c>
      <c r="J650" s="8">
        <v>1135</v>
      </c>
      <c r="K650" s="10">
        <v>1135</v>
      </c>
      <c r="L650" s="9">
        <v>1135</v>
      </c>
      <c r="M650" s="9">
        <v>2040</v>
      </c>
      <c r="N650" s="9">
        <v>1570</v>
      </c>
      <c r="O650" s="9">
        <v>2040</v>
      </c>
      <c r="P650" s="9">
        <v>2040</v>
      </c>
      <c r="Q650" s="9">
        <v>2040</v>
      </c>
    </row>
    <row r="651" spans="2:17" ht="12.75">
      <c r="B651" s="50" t="s">
        <v>166</v>
      </c>
      <c r="C651" s="49">
        <v>517800</v>
      </c>
      <c r="D651" s="49"/>
      <c r="E651" s="3" t="s">
        <v>2298</v>
      </c>
      <c r="F651" s="19">
        <v>0</v>
      </c>
      <c r="G651" s="19">
        <v>0</v>
      </c>
      <c r="H651" s="19">
        <v>485</v>
      </c>
      <c r="I651" s="8">
        <v>180</v>
      </c>
      <c r="J651" s="8">
        <v>840</v>
      </c>
      <c r="K651" s="10">
        <v>3370</v>
      </c>
      <c r="L651" s="9">
        <v>3370</v>
      </c>
      <c r="M651" s="9">
        <v>2234</v>
      </c>
      <c r="N651" s="9">
        <v>2280</v>
      </c>
      <c r="O651" s="9">
        <v>2300</v>
      </c>
      <c r="P651" s="9">
        <v>2300</v>
      </c>
      <c r="Q651" s="9">
        <v>2954</v>
      </c>
    </row>
    <row r="652" spans="1:17" ht="12.75">
      <c r="A652" s="3" t="s">
        <v>171</v>
      </c>
      <c r="B652" s="11" t="s">
        <v>172</v>
      </c>
      <c r="C652" s="36">
        <v>519500</v>
      </c>
      <c r="E652" s="3" t="s">
        <v>3061</v>
      </c>
      <c r="F652" s="19">
        <v>220</v>
      </c>
      <c r="G652" s="19">
        <v>444</v>
      </c>
      <c r="H652" s="19">
        <v>30</v>
      </c>
      <c r="I652" s="8">
        <v>3840</v>
      </c>
      <c r="J652" s="9">
        <v>0</v>
      </c>
      <c r="K652" s="10">
        <v>1200</v>
      </c>
      <c r="L652" s="9">
        <v>1608.61</v>
      </c>
      <c r="M652" s="9">
        <v>426.62</v>
      </c>
      <c r="N652" s="9">
        <v>2000</v>
      </c>
      <c r="O652" s="9">
        <v>2000</v>
      </c>
      <c r="P652" s="9">
        <v>2000</v>
      </c>
      <c r="Q652" s="9">
        <v>2000</v>
      </c>
    </row>
    <row r="653" spans="1:17" ht="12.75">
      <c r="A653" s="3" t="s">
        <v>169</v>
      </c>
      <c r="B653" s="11" t="s">
        <v>170</v>
      </c>
      <c r="C653" s="36">
        <v>519900</v>
      </c>
      <c r="E653" s="3" t="s">
        <v>2957</v>
      </c>
      <c r="F653" s="19">
        <v>3200</v>
      </c>
      <c r="G653" s="19">
        <v>3250</v>
      </c>
      <c r="H653" s="19">
        <v>3125</v>
      </c>
      <c r="I653" s="8">
        <v>1992.62</v>
      </c>
      <c r="J653" s="8">
        <v>6820.42</v>
      </c>
      <c r="K653" s="10">
        <v>5251.25</v>
      </c>
      <c r="L653" s="9">
        <v>5332.75</v>
      </c>
      <c r="M653" s="9">
        <v>5864.08</v>
      </c>
      <c r="N653" s="9">
        <v>6178.81</v>
      </c>
      <c r="O653" s="9">
        <v>4926</v>
      </c>
      <c r="P653" s="9">
        <v>4926</v>
      </c>
      <c r="Q653" s="9">
        <v>5646</v>
      </c>
    </row>
    <row r="654" spans="5:18" ht="12.75">
      <c r="E654" s="20" t="s">
        <v>2187</v>
      </c>
      <c r="F654" s="21">
        <f aca="true" t="shared" si="140" ref="F654:L654">SUM(F644:F653)</f>
        <v>201256</v>
      </c>
      <c r="G654" s="21">
        <f t="shared" si="140"/>
        <v>212681.77</v>
      </c>
      <c r="H654" s="21">
        <f t="shared" si="140"/>
        <v>241406.47</v>
      </c>
      <c r="I654" s="22">
        <f t="shared" si="140"/>
        <v>228921.28</v>
      </c>
      <c r="J654" s="23">
        <f t="shared" si="140"/>
        <v>229464</v>
      </c>
      <c r="K654" s="23">
        <f t="shared" si="140"/>
        <v>255285.40000000002</v>
      </c>
      <c r="L654" s="7">
        <f t="shared" si="140"/>
        <v>256679.94999999998</v>
      </c>
      <c r="M654" s="7">
        <f aca="true" t="shared" si="141" ref="M654:R654">SUM(M644:M653)</f>
        <v>258828.12</v>
      </c>
      <c r="N654" s="7">
        <f t="shared" si="141"/>
        <v>277801.27999999997</v>
      </c>
      <c r="O654" s="7">
        <f t="shared" si="141"/>
        <v>226206</v>
      </c>
      <c r="P654" s="7">
        <f t="shared" si="141"/>
        <v>226206</v>
      </c>
      <c r="Q654" s="7">
        <f t="shared" si="141"/>
        <v>256397</v>
      </c>
      <c r="R654" s="7">
        <f t="shared" si="141"/>
        <v>0</v>
      </c>
    </row>
    <row r="655" spans="3:4" ht="12.75">
      <c r="C655" s="196">
        <v>12162</v>
      </c>
      <c r="D655" s="196"/>
    </row>
    <row r="656" spans="1:17" ht="12.75">
      <c r="A656" s="3" t="s">
        <v>175</v>
      </c>
      <c r="B656" s="11" t="s">
        <v>176</v>
      </c>
      <c r="C656" s="36">
        <v>524400</v>
      </c>
      <c r="E656" s="3" t="s">
        <v>1297</v>
      </c>
      <c r="F656" s="19">
        <v>1878</v>
      </c>
      <c r="G656" s="19">
        <v>1878.52</v>
      </c>
      <c r="H656" s="19">
        <v>2361.29</v>
      </c>
      <c r="I656" s="8">
        <v>2359.81</v>
      </c>
      <c r="J656" s="8">
        <v>2349.3</v>
      </c>
      <c r="K656" s="10">
        <v>2373.42</v>
      </c>
      <c r="L656" s="9">
        <v>2361.24</v>
      </c>
      <c r="M656" s="9">
        <v>2681.72</v>
      </c>
      <c r="N656" s="9">
        <v>2377.85</v>
      </c>
      <c r="O656" s="9">
        <v>2379</v>
      </c>
      <c r="P656" s="9">
        <v>2379</v>
      </c>
      <c r="Q656" s="9">
        <v>2379</v>
      </c>
    </row>
    <row r="657" spans="1:17" ht="12.75">
      <c r="A657" s="3" t="s">
        <v>177</v>
      </c>
      <c r="B657" s="11" t="s">
        <v>178</v>
      </c>
      <c r="C657" s="36">
        <v>525000</v>
      </c>
      <c r="E657" s="3" t="s">
        <v>1304</v>
      </c>
      <c r="F657" s="19">
        <v>3843</v>
      </c>
      <c r="G657" s="19">
        <v>3988.15</v>
      </c>
      <c r="H657" s="19">
        <v>3997.87</v>
      </c>
      <c r="I657" s="8">
        <v>3941.35</v>
      </c>
      <c r="J657" s="8">
        <v>1307.05</v>
      </c>
      <c r="K657" s="10">
        <v>1699.5</v>
      </c>
      <c r="L657" s="9">
        <v>2002</v>
      </c>
      <c r="M657" s="9">
        <v>1148.5</v>
      </c>
      <c r="N657" s="9">
        <v>2762</v>
      </c>
      <c r="O657" s="9">
        <v>4000</v>
      </c>
      <c r="P657" s="9">
        <v>4000</v>
      </c>
      <c r="Q657" s="9">
        <v>4000</v>
      </c>
    </row>
    <row r="658" spans="1:17" ht="12.75">
      <c r="A658" s="3" t="s">
        <v>181</v>
      </c>
      <c r="B658" s="11" t="s">
        <v>182</v>
      </c>
      <c r="C658" s="36">
        <v>542100</v>
      </c>
      <c r="E658" s="3" t="s">
        <v>2335</v>
      </c>
      <c r="F658" s="19">
        <v>421</v>
      </c>
      <c r="G658" s="19">
        <v>286.83</v>
      </c>
      <c r="H658" s="19">
        <v>446.35</v>
      </c>
      <c r="I658" s="8">
        <v>369.49</v>
      </c>
      <c r="J658" s="8">
        <v>394.9</v>
      </c>
      <c r="K658" s="10">
        <v>419.61</v>
      </c>
      <c r="L658" s="9">
        <v>396.15</v>
      </c>
      <c r="M658" s="9">
        <v>421</v>
      </c>
      <c r="N658" s="9">
        <v>463.97</v>
      </c>
      <c r="O658" s="9">
        <v>464</v>
      </c>
      <c r="P658" s="9">
        <v>464</v>
      </c>
      <c r="Q658" s="9">
        <v>464</v>
      </c>
    </row>
    <row r="659" spans="2:17" ht="12.75">
      <c r="B659" s="50" t="s">
        <v>179</v>
      </c>
      <c r="C659" s="49">
        <v>545010</v>
      </c>
      <c r="D659" s="49"/>
      <c r="E659" s="3" t="s">
        <v>180</v>
      </c>
      <c r="F659" s="19">
        <v>0</v>
      </c>
      <c r="G659" s="19">
        <v>0</v>
      </c>
      <c r="H659" s="19">
        <v>2010.87</v>
      </c>
      <c r="I659" s="8">
        <v>1802.45</v>
      </c>
      <c r="J659" s="8">
        <v>983.41</v>
      </c>
      <c r="K659" s="10">
        <v>461.1</v>
      </c>
      <c r="L659" s="9">
        <v>1372.95</v>
      </c>
      <c r="M659" s="9">
        <v>577.45</v>
      </c>
      <c r="N659" s="9">
        <v>2000</v>
      </c>
      <c r="O659" s="9">
        <v>2000</v>
      </c>
      <c r="P659" s="9">
        <v>2000</v>
      </c>
      <c r="Q659" s="9">
        <v>2000</v>
      </c>
    </row>
    <row r="660" spans="1:17" ht="12.75">
      <c r="A660" s="3" t="s">
        <v>186</v>
      </c>
      <c r="B660" s="11" t="s">
        <v>187</v>
      </c>
      <c r="C660" s="36">
        <v>548000</v>
      </c>
      <c r="E660" s="3" t="s">
        <v>2991</v>
      </c>
      <c r="F660" s="19">
        <v>1736</v>
      </c>
      <c r="G660" s="19">
        <v>1726.67</v>
      </c>
      <c r="H660" s="19">
        <v>1735.51</v>
      </c>
      <c r="I660" s="8">
        <v>1736.76</v>
      </c>
      <c r="J660" s="8">
        <v>1675.07</v>
      </c>
      <c r="K660" s="10">
        <v>1836.94</v>
      </c>
      <c r="L660" s="9">
        <v>1626.15</v>
      </c>
      <c r="M660" s="9">
        <v>1625.94</v>
      </c>
      <c r="N660" s="9">
        <v>1761.74</v>
      </c>
      <c r="O660" s="9">
        <v>1737</v>
      </c>
      <c r="P660" s="9">
        <v>1737</v>
      </c>
      <c r="Q660" s="9">
        <v>1737</v>
      </c>
    </row>
    <row r="661" spans="1:18" ht="12.75">
      <c r="A661" s="3" t="s">
        <v>188</v>
      </c>
      <c r="B661" s="11" t="s">
        <v>189</v>
      </c>
      <c r="C661" s="36">
        <v>548900</v>
      </c>
      <c r="E661" s="3" t="s">
        <v>842</v>
      </c>
      <c r="F661" s="19">
        <v>2482</v>
      </c>
      <c r="G661" s="19">
        <v>2703.36</v>
      </c>
      <c r="H661" s="19">
        <v>2689.12</v>
      </c>
      <c r="I661" s="8">
        <v>3492.72</v>
      </c>
      <c r="J661" s="8">
        <v>655.51</v>
      </c>
      <c r="K661" s="10">
        <v>876.68</v>
      </c>
      <c r="L661" s="9">
        <v>1830.87</v>
      </c>
      <c r="M661" s="9">
        <v>2022.78</v>
      </c>
      <c r="N661" s="9">
        <v>4806.82</v>
      </c>
      <c r="O661" s="9">
        <v>0</v>
      </c>
      <c r="P661" s="9">
        <v>0</v>
      </c>
      <c r="Q661" s="9">
        <v>0</v>
      </c>
      <c r="R661" s="9">
        <v>0</v>
      </c>
    </row>
    <row r="662" spans="1:17" ht="12.75">
      <c r="A662" s="3" t="s">
        <v>183</v>
      </c>
      <c r="B662" s="11" t="s">
        <v>184</v>
      </c>
      <c r="C662" s="36">
        <v>558900</v>
      </c>
      <c r="E662" s="3" t="s">
        <v>185</v>
      </c>
      <c r="F662" s="19">
        <v>2504</v>
      </c>
      <c r="G662" s="19">
        <v>1800</v>
      </c>
      <c r="H662" s="19">
        <v>3268.25</v>
      </c>
      <c r="I662" s="8">
        <v>1548</v>
      </c>
      <c r="J662" s="8">
        <v>0</v>
      </c>
      <c r="K662" s="10">
        <v>1835.72</v>
      </c>
      <c r="L662" s="9">
        <v>2199</v>
      </c>
      <c r="M662" s="9">
        <v>1885</v>
      </c>
      <c r="N662" s="9">
        <v>237.25</v>
      </c>
      <c r="O662" s="9">
        <v>2600</v>
      </c>
      <c r="P662" s="9">
        <v>2600</v>
      </c>
      <c r="Q662" s="9">
        <v>2600</v>
      </c>
    </row>
    <row r="663" spans="1:17" ht="12.75">
      <c r="A663" s="3" t="s">
        <v>190</v>
      </c>
      <c r="B663" s="11" t="s">
        <v>191</v>
      </c>
      <c r="C663" s="36">
        <v>571000</v>
      </c>
      <c r="E663" s="3" t="s">
        <v>2270</v>
      </c>
      <c r="F663" s="19">
        <v>109</v>
      </c>
      <c r="G663" s="19">
        <v>208.8</v>
      </c>
      <c r="H663" s="19">
        <v>145</v>
      </c>
      <c r="I663" s="8">
        <v>8.25</v>
      </c>
      <c r="J663" s="8">
        <v>38.62</v>
      </c>
      <c r="K663" s="10">
        <v>6</v>
      </c>
      <c r="L663" s="9">
        <v>0</v>
      </c>
      <c r="M663" s="9">
        <v>4</v>
      </c>
      <c r="N663" s="9">
        <v>19.84</v>
      </c>
      <c r="O663" s="9">
        <v>189</v>
      </c>
      <c r="P663" s="9">
        <v>189</v>
      </c>
      <c r="Q663" s="9">
        <v>189</v>
      </c>
    </row>
    <row r="664" spans="1:17" ht="12.75">
      <c r="A664" s="3" t="s">
        <v>192</v>
      </c>
      <c r="B664" s="11" t="s">
        <v>193</v>
      </c>
      <c r="C664" s="36">
        <v>573000</v>
      </c>
      <c r="E664" s="3" t="s">
        <v>3001</v>
      </c>
      <c r="F664" s="19">
        <v>80</v>
      </c>
      <c r="G664" s="19">
        <v>269.7</v>
      </c>
      <c r="H664" s="19">
        <v>484.8</v>
      </c>
      <c r="I664" s="8">
        <v>360</v>
      </c>
      <c r="J664" s="8">
        <v>467.39</v>
      </c>
      <c r="K664" s="10">
        <v>250</v>
      </c>
      <c r="L664" s="9">
        <v>25</v>
      </c>
      <c r="M664" s="9">
        <v>80.75</v>
      </c>
      <c r="N664" s="9">
        <v>199.9</v>
      </c>
      <c r="O664" s="9">
        <v>500</v>
      </c>
      <c r="P664" s="9">
        <v>500</v>
      </c>
      <c r="Q664" s="9">
        <v>500</v>
      </c>
    </row>
    <row r="665" spans="1:18" ht="12.75" hidden="1">
      <c r="A665" s="3" t="s">
        <v>173</v>
      </c>
      <c r="B665" s="11" t="s">
        <v>174</v>
      </c>
      <c r="E665" s="3" t="s">
        <v>2960</v>
      </c>
      <c r="F665" s="19">
        <v>421</v>
      </c>
      <c r="G665" s="19">
        <v>321.46</v>
      </c>
      <c r="H665" s="19">
        <v>627.05</v>
      </c>
      <c r="I665" s="8">
        <v>512.73</v>
      </c>
      <c r="J665" s="8">
        <v>404.88</v>
      </c>
      <c r="K665" s="10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</row>
    <row r="666" spans="5:18" ht="12.75">
      <c r="E666" s="20" t="s">
        <v>2274</v>
      </c>
      <c r="F666" s="21">
        <f aca="true" t="shared" si="142" ref="F666:K666">SUM(F664:F665)</f>
        <v>501</v>
      </c>
      <c r="G666" s="21">
        <f t="shared" si="142"/>
        <v>591.16</v>
      </c>
      <c r="H666" s="21">
        <f t="shared" si="142"/>
        <v>1111.85</v>
      </c>
      <c r="I666" s="23">
        <f t="shared" si="142"/>
        <v>872.73</v>
      </c>
      <c r="J666" s="23">
        <f t="shared" si="142"/>
        <v>872.27</v>
      </c>
      <c r="K666" s="23">
        <f t="shared" si="142"/>
        <v>250</v>
      </c>
      <c r="L666" s="7">
        <f>SUM(L656:L665)</f>
        <v>11813.36</v>
      </c>
      <c r="M666" s="7">
        <f aca="true" t="shared" si="143" ref="M666:R666">SUM(M656:M665)</f>
        <v>10447.14</v>
      </c>
      <c r="N666" s="7">
        <f t="shared" si="143"/>
        <v>14629.37</v>
      </c>
      <c r="O666" s="7">
        <f t="shared" si="143"/>
        <v>13869</v>
      </c>
      <c r="P666" s="7">
        <f t="shared" si="143"/>
        <v>13869</v>
      </c>
      <c r="Q666" s="7">
        <f t="shared" si="143"/>
        <v>13869</v>
      </c>
      <c r="R666" s="7">
        <f t="shared" si="143"/>
        <v>0</v>
      </c>
    </row>
    <row r="667" spans="5:8" ht="6" customHeight="1">
      <c r="E667" s="20"/>
      <c r="F667" s="21"/>
      <c r="G667" s="21"/>
      <c r="H667" s="21"/>
    </row>
    <row r="668" spans="1:18" ht="12.75" hidden="1">
      <c r="A668" s="3" t="s">
        <v>194</v>
      </c>
      <c r="B668" s="11" t="s">
        <v>195</v>
      </c>
      <c r="E668" s="3" t="s">
        <v>2359</v>
      </c>
      <c r="F668" s="37">
        <v>1000</v>
      </c>
      <c r="G668" s="37">
        <v>1000</v>
      </c>
      <c r="H668" s="37">
        <v>4500</v>
      </c>
      <c r="I668" s="8">
        <v>1019.6</v>
      </c>
      <c r="J668" s="9">
        <v>0</v>
      </c>
      <c r="K668" s="8">
        <v>2793.94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</row>
    <row r="669" spans="5:18" ht="12.75" hidden="1">
      <c r="E669" s="20" t="s">
        <v>2277</v>
      </c>
      <c r="F669" s="21">
        <f aca="true" t="shared" si="144" ref="F669:L669">SUM(F668)</f>
        <v>1000</v>
      </c>
      <c r="G669" s="21">
        <f t="shared" si="144"/>
        <v>1000</v>
      </c>
      <c r="H669" s="21">
        <f t="shared" si="144"/>
        <v>4500</v>
      </c>
      <c r="I669" s="22">
        <f t="shared" si="144"/>
        <v>1019.6</v>
      </c>
      <c r="J669" s="23">
        <f t="shared" si="144"/>
        <v>0</v>
      </c>
      <c r="K669" s="23">
        <f t="shared" si="144"/>
        <v>2793.94</v>
      </c>
      <c r="L669" s="7">
        <f t="shared" si="144"/>
        <v>0</v>
      </c>
      <c r="M669" s="7">
        <f aca="true" t="shared" si="145" ref="M669:R669">SUM(M668)</f>
        <v>0</v>
      </c>
      <c r="N669" s="7">
        <f t="shared" si="145"/>
        <v>0</v>
      </c>
      <c r="O669" s="7">
        <f t="shared" si="145"/>
        <v>0</v>
      </c>
      <c r="P669" s="7">
        <f t="shared" si="145"/>
        <v>0</v>
      </c>
      <c r="Q669" s="7">
        <f t="shared" si="145"/>
        <v>0</v>
      </c>
      <c r="R669" s="7">
        <f t="shared" si="145"/>
        <v>0</v>
      </c>
    </row>
    <row r="670" spans="5:9" ht="12.75">
      <c r="E670" s="20"/>
      <c r="I670" s="10"/>
    </row>
    <row r="671" spans="5:18" ht="12.75">
      <c r="E671" s="2" t="s">
        <v>196</v>
      </c>
      <c r="F671" s="31">
        <f aca="true" t="shared" si="146" ref="F671:K671">SUM(F644:F669)/2</f>
        <v>209243.5</v>
      </c>
      <c r="G671" s="31">
        <f t="shared" si="146"/>
        <v>220569.095</v>
      </c>
      <c r="H671" s="31">
        <f t="shared" si="146"/>
        <v>255345.44999999995</v>
      </c>
      <c r="I671" s="28">
        <f t="shared" si="146"/>
        <v>238443.02499999994</v>
      </c>
      <c r="J671" s="28">
        <f t="shared" si="146"/>
        <v>234038.2</v>
      </c>
      <c r="K671" s="28">
        <f t="shared" si="146"/>
        <v>263083.82499999995</v>
      </c>
      <c r="L671" s="32">
        <f>SUM(L644:L669)/2</f>
        <v>268493.31</v>
      </c>
      <c r="M671" s="32">
        <f aca="true" t="shared" si="147" ref="M671:R671">SUM(M644:M669)/2</f>
        <v>269275.26</v>
      </c>
      <c r="N671" s="32">
        <f t="shared" si="147"/>
        <v>292430.6499999999</v>
      </c>
      <c r="O671" s="32">
        <f t="shared" si="147"/>
        <v>240075</v>
      </c>
      <c r="P671" s="32">
        <f t="shared" si="147"/>
        <v>240075</v>
      </c>
      <c r="Q671" s="32">
        <f t="shared" si="147"/>
        <v>270266</v>
      </c>
      <c r="R671" s="32">
        <f t="shared" si="147"/>
        <v>0</v>
      </c>
    </row>
    <row r="672" spans="5:9" ht="12.75">
      <c r="E672" s="38"/>
      <c r="I672" s="10"/>
    </row>
    <row r="673" spans="5:18" ht="12.75">
      <c r="E673" s="55" t="s">
        <v>197</v>
      </c>
      <c r="F673" s="25">
        <f aca="true" t="shared" si="148" ref="F673:K673">SUM(F432:F671)/3</f>
        <v>3706091</v>
      </c>
      <c r="G673" s="25">
        <f t="shared" si="148"/>
        <v>4008253.5649999976</v>
      </c>
      <c r="H673" s="25">
        <f t="shared" si="148"/>
        <v>4716871.62</v>
      </c>
      <c r="I673" s="23">
        <f t="shared" si="148"/>
        <v>4417509.955000001</v>
      </c>
      <c r="J673" s="23">
        <f t="shared" si="148"/>
        <v>4820365.6850000005</v>
      </c>
      <c r="K673" s="23">
        <f t="shared" si="148"/>
        <v>5025297.299999998</v>
      </c>
      <c r="L673" s="7">
        <f>SUM(L432:L671)/3</f>
        <v>4853203.316666667</v>
      </c>
      <c r="M673" s="7">
        <f aca="true" t="shared" si="149" ref="M673:R673">SUM(M432:M671)/3</f>
        <v>4806634.81</v>
      </c>
      <c r="N673" s="7">
        <f t="shared" si="149"/>
        <v>4997251.110000001</v>
      </c>
      <c r="O673" s="7">
        <f t="shared" si="149"/>
        <v>5427196</v>
      </c>
      <c r="P673" s="7">
        <f t="shared" si="149"/>
        <v>5442316</v>
      </c>
      <c r="Q673" s="7">
        <f t="shared" si="149"/>
        <v>5615908</v>
      </c>
      <c r="R673" s="7">
        <f t="shared" si="149"/>
        <v>0</v>
      </c>
    </row>
    <row r="675" spans="1:5" ht="12.75">
      <c r="A675" s="3" t="s">
        <v>2180</v>
      </c>
      <c r="C675" s="196">
        <v>12211</v>
      </c>
      <c r="D675" s="196"/>
      <c r="E675" s="163" t="s">
        <v>260</v>
      </c>
    </row>
    <row r="676" spans="1:17" ht="12.75">
      <c r="A676" s="3" t="s">
        <v>261</v>
      </c>
      <c r="B676" s="11" t="s">
        <v>262</v>
      </c>
      <c r="C676" s="36">
        <v>511000</v>
      </c>
      <c r="E676" s="3" t="s">
        <v>2363</v>
      </c>
      <c r="F676" s="19">
        <v>137031</v>
      </c>
      <c r="G676" s="19">
        <v>170024.69</v>
      </c>
      <c r="H676" s="19">
        <v>181646.66</v>
      </c>
      <c r="I676" s="8">
        <v>186534.9</v>
      </c>
      <c r="J676" s="9">
        <v>198285.56</v>
      </c>
      <c r="K676" s="10">
        <v>206266.49</v>
      </c>
      <c r="L676" s="9">
        <v>199340.78</v>
      </c>
      <c r="M676" s="9">
        <v>195017.4</v>
      </c>
      <c r="N676" s="9">
        <v>207980.09</v>
      </c>
      <c r="O676" s="9">
        <v>213359</v>
      </c>
      <c r="P676" s="9">
        <v>221522</v>
      </c>
      <c r="Q676" s="9">
        <v>223096</v>
      </c>
    </row>
    <row r="677" spans="1:17" ht="12.75">
      <c r="A677" s="3" t="s">
        <v>263</v>
      </c>
      <c r="B677" s="11" t="s">
        <v>264</v>
      </c>
      <c r="C677" s="36">
        <v>511100</v>
      </c>
      <c r="E677" s="3" t="s">
        <v>2370</v>
      </c>
      <c r="F677" s="19">
        <v>700</v>
      </c>
      <c r="G677" s="19">
        <v>0</v>
      </c>
      <c r="H677" s="19">
        <v>1208.67</v>
      </c>
      <c r="I677" s="8">
        <v>1720</v>
      </c>
      <c r="J677" s="9">
        <v>0</v>
      </c>
      <c r="K677" s="10">
        <v>0</v>
      </c>
      <c r="L677" s="9">
        <v>0</v>
      </c>
      <c r="M677" s="9">
        <v>0</v>
      </c>
      <c r="N677" s="9">
        <v>0</v>
      </c>
      <c r="O677" s="9">
        <v>16000</v>
      </c>
      <c r="P677" s="9">
        <v>15000</v>
      </c>
      <c r="Q677" s="9">
        <v>16000</v>
      </c>
    </row>
    <row r="678" spans="1:15" ht="12.75">
      <c r="A678" s="3" t="s">
        <v>270</v>
      </c>
      <c r="B678" s="11" t="s">
        <v>271</v>
      </c>
      <c r="C678" s="36">
        <v>514800</v>
      </c>
      <c r="E678" s="3" t="s">
        <v>2288</v>
      </c>
      <c r="F678" s="19">
        <v>325</v>
      </c>
      <c r="G678" s="19">
        <v>325</v>
      </c>
      <c r="H678" s="19">
        <v>325</v>
      </c>
      <c r="I678" s="8">
        <v>325</v>
      </c>
      <c r="J678" s="9">
        <v>375</v>
      </c>
      <c r="K678" s="10">
        <v>375</v>
      </c>
      <c r="L678" s="9">
        <v>12369.84</v>
      </c>
      <c r="N678" s="9">
        <v>0</v>
      </c>
      <c r="O678" s="9">
        <v>0</v>
      </c>
    </row>
    <row r="679" spans="1:17" ht="12.75">
      <c r="A679" s="3" t="s">
        <v>268</v>
      </c>
      <c r="B679" s="11" t="s">
        <v>269</v>
      </c>
      <c r="C679" s="36">
        <v>514900</v>
      </c>
      <c r="E679" s="3" t="s">
        <v>2944</v>
      </c>
      <c r="F679" s="19">
        <v>5834</v>
      </c>
      <c r="G679" s="19">
        <v>7339.09</v>
      </c>
      <c r="H679" s="19">
        <v>7861.7</v>
      </c>
      <c r="I679" s="8">
        <v>8130.87</v>
      </c>
      <c r="J679" s="9">
        <v>8409.28</v>
      </c>
      <c r="K679" s="10">
        <v>8568.67</v>
      </c>
      <c r="L679" s="9">
        <v>8907.6</v>
      </c>
      <c r="M679" s="9">
        <v>8350.37</v>
      </c>
      <c r="N679" s="9">
        <v>8711.78</v>
      </c>
      <c r="O679" s="9">
        <v>9008</v>
      </c>
      <c r="P679" s="9">
        <v>9447</v>
      </c>
      <c r="Q679" s="9">
        <v>9411</v>
      </c>
    </row>
    <row r="680" spans="1:17" ht="12.75">
      <c r="A680" s="3" t="s">
        <v>274</v>
      </c>
      <c r="B680" s="11" t="s">
        <v>275</v>
      </c>
      <c r="C680" s="36">
        <v>517000</v>
      </c>
      <c r="E680" s="3" t="s">
        <v>2222</v>
      </c>
      <c r="F680" s="19">
        <v>19501</v>
      </c>
      <c r="G680" s="19">
        <v>10462</v>
      </c>
      <c r="H680" s="19">
        <v>11986</v>
      </c>
      <c r="I680" s="8">
        <v>11441</v>
      </c>
      <c r="J680" s="9">
        <v>21545</v>
      </c>
      <c r="K680" s="10">
        <v>29567</v>
      </c>
      <c r="L680" s="9">
        <v>31211</v>
      </c>
      <c r="M680" s="9">
        <v>30629.85</v>
      </c>
      <c r="N680" s="9">
        <v>17765</v>
      </c>
      <c r="O680" s="9">
        <v>34687</v>
      </c>
      <c r="P680" s="9">
        <v>34687</v>
      </c>
      <c r="Q680" s="9">
        <v>37036</v>
      </c>
    </row>
    <row r="681" spans="1:15" ht="12.75" hidden="1">
      <c r="A681" s="3" t="s">
        <v>272</v>
      </c>
      <c r="B681" s="11" t="s">
        <v>273</v>
      </c>
      <c r="E681" s="3" t="s">
        <v>2219</v>
      </c>
      <c r="F681" s="19">
        <v>72</v>
      </c>
      <c r="G681" s="19">
        <v>72</v>
      </c>
      <c r="H681" s="19">
        <v>72</v>
      </c>
      <c r="I681" s="8">
        <v>0</v>
      </c>
      <c r="J681" s="9">
        <v>0</v>
      </c>
      <c r="K681" s="10">
        <v>0</v>
      </c>
      <c r="L681" s="9">
        <v>0</v>
      </c>
      <c r="M681" s="9">
        <v>0</v>
      </c>
      <c r="N681" s="9">
        <v>0</v>
      </c>
      <c r="O681" s="9">
        <v>0</v>
      </c>
    </row>
    <row r="682" spans="2:17" ht="12.75">
      <c r="B682" s="11">
        <v>5746.5</v>
      </c>
      <c r="C682" s="36">
        <v>517200</v>
      </c>
      <c r="E682" s="3" t="s">
        <v>2291</v>
      </c>
      <c r="K682" s="10"/>
      <c r="M682" s="9">
        <v>164</v>
      </c>
      <c r="N682" s="9">
        <v>157</v>
      </c>
      <c r="O682" s="9">
        <v>39</v>
      </c>
      <c r="P682" s="9">
        <v>39</v>
      </c>
      <c r="Q682" s="9">
        <v>41</v>
      </c>
    </row>
    <row r="683" spans="1:17" ht="12.75">
      <c r="A683" s="3" t="s">
        <v>276</v>
      </c>
      <c r="B683" s="11" t="s">
        <v>277</v>
      </c>
      <c r="C683" s="36">
        <v>517800</v>
      </c>
      <c r="E683" s="3" t="s">
        <v>2298</v>
      </c>
      <c r="F683" s="19">
        <v>0</v>
      </c>
      <c r="G683" s="19">
        <v>0</v>
      </c>
      <c r="H683" s="19">
        <v>0</v>
      </c>
      <c r="I683" s="8">
        <v>0</v>
      </c>
      <c r="J683" s="9">
        <v>0</v>
      </c>
      <c r="K683" s="10">
        <v>0</v>
      </c>
      <c r="L683" s="9">
        <v>0</v>
      </c>
      <c r="M683" s="9">
        <v>0</v>
      </c>
      <c r="N683" s="9">
        <v>0</v>
      </c>
      <c r="O683" s="9">
        <v>200</v>
      </c>
      <c r="P683" s="9">
        <v>200</v>
      </c>
      <c r="Q683" s="9">
        <v>220</v>
      </c>
    </row>
    <row r="684" spans="1:17" ht="12.75">
      <c r="A684" s="3" t="s">
        <v>278</v>
      </c>
      <c r="B684" s="11" t="s">
        <v>279</v>
      </c>
      <c r="C684" s="36">
        <v>519002</v>
      </c>
      <c r="E684" s="3" t="s">
        <v>280</v>
      </c>
      <c r="F684" s="19">
        <v>1050</v>
      </c>
      <c r="G684" s="19">
        <v>1049.88</v>
      </c>
      <c r="H684" s="19">
        <v>1332.54</v>
      </c>
      <c r="I684" s="8">
        <v>2099.76</v>
      </c>
      <c r="J684" s="9">
        <v>2099.76</v>
      </c>
      <c r="K684" s="10">
        <v>2099.76</v>
      </c>
      <c r="L684" s="9">
        <v>2059.38</v>
      </c>
      <c r="M684" s="9">
        <v>2019</v>
      </c>
      <c r="N684" s="9">
        <v>2091.6</v>
      </c>
      <c r="O684" s="9">
        <v>2100</v>
      </c>
      <c r="P684" s="9">
        <v>2100</v>
      </c>
      <c r="Q684" s="9">
        <v>2100</v>
      </c>
    </row>
    <row r="685" spans="2:17" ht="12.75">
      <c r="B685" s="11" t="s">
        <v>281</v>
      </c>
      <c r="C685" s="36">
        <v>519600</v>
      </c>
      <c r="E685" s="3" t="s">
        <v>228</v>
      </c>
      <c r="F685" s="19">
        <v>0</v>
      </c>
      <c r="G685" s="19">
        <v>0</v>
      </c>
      <c r="H685" s="19">
        <v>0</v>
      </c>
      <c r="I685" s="8">
        <v>0</v>
      </c>
      <c r="J685" s="9">
        <v>1519.22</v>
      </c>
      <c r="K685" s="10">
        <v>1999.72</v>
      </c>
      <c r="L685" s="9">
        <v>2009.33</v>
      </c>
      <c r="M685" s="9">
        <v>4624</v>
      </c>
      <c r="N685" s="9">
        <v>4643.34</v>
      </c>
      <c r="O685" s="9">
        <v>4650</v>
      </c>
      <c r="P685" s="9">
        <v>4650</v>
      </c>
      <c r="Q685" s="9">
        <v>4650</v>
      </c>
    </row>
    <row r="686" spans="1:17" ht="12.75">
      <c r="A686" s="3" t="s">
        <v>265</v>
      </c>
      <c r="B686" s="11" t="s">
        <v>266</v>
      </c>
      <c r="C686" s="36">
        <v>519800</v>
      </c>
      <c r="E686" s="3" t="s">
        <v>267</v>
      </c>
      <c r="F686" s="19">
        <v>1515</v>
      </c>
      <c r="G686" s="19">
        <v>1515</v>
      </c>
      <c r="H686" s="19">
        <v>1675</v>
      </c>
      <c r="I686" s="8">
        <v>1515</v>
      </c>
      <c r="J686" s="9">
        <v>1515</v>
      </c>
      <c r="K686" s="10">
        <v>2357.5</v>
      </c>
      <c r="L686" s="9">
        <v>2849.62</v>
      </c>
      <c r="M686" s="9">
        <v>1590</v>
      </c>
      <c r="N686" s="9">
        <v>1792.5</v>
      </c>
      <c r="O686" s="9">
        <v>1890</v>
      </c>
      <c r="P686" s="9">
        <v>2040</v>
      </c>
      <c r="Q686" s="9">
        <v>2475</v>
      </c>
    </row>
    <row r="687" spans="5:17" ht="12.75">
      <c r="E687" s="3" t="s">
        <v>1305</v>
      </c>
      <c r="K687" s="10"/>
      <c r="P687" s="9">
        <v>461</v>
      </c>
      <c r="Q687" s="9">
        <v>461</v>
      </c>
    </row>
    <row r="688" spans="5:18" ht="12.75">
      <c r="E688" s="20" t="s">
        <v>2187</v>
      </c>
      <c r="F688" s="21">
        <f>SUM(F676:F686)</f>
        <v>166028</v>
      </c>
      <c r="G688" s="21">
        <f>SUM(G676:G686)</f>
        <v>190787.66</v>
      </c>
      <c r="H688" s="21">
        <f>SUM(H676:H686)</f>
        <v>206107.57000000004</v>
      </c>
      <c r="I688" s="22">
        <f>SUM(I676:I686)</f>
        <v>211766.53</v>
      </c>
      <c r="J688" s="23">
        <f aca="true" t="shared" si="150" ref="J688:R688">SUM(J676:J687)</f>
        <v>233748.82</v>
      </c>
      <c r="K688" s="23">
        <f t="shared" si="150"/>
        <v>251234.14</v>
      </c>
      <c r="L688" s="23">
        <f t="shared" si="150"/>
        <v>258747.55</v>
      </c>
      <c r="M688" s="23">
        <f t="shared" si="150"/>
        <v>242394.62</v>
      </c>
      <c r="N688" s="23">
        <f t="shared" si="150"/>
        <v>243141.31</v>
      </c>
      <c r="O688" s="23">
        <f t="shared" si="150"/>
        <v>281933</v>
      </c>
      <c r="P688" s="23">
        <f t="shared" si="150"/>
        <v>290146</v>
      </c>
      <c r="Q688" s="23">
        <f t="shared" si="150"/>
        <v>295490</v>
      </c>
      <c r="R688" s="23">
        <f t="shared" si="150"/>
        <v>0</v>
      </c>
    </row>
    <row r="689" spans="3:4" ht="12.75">
      <c r="C689" s="196">
        <v>12212</v>
      </c>
      <c r="D689" s="196"/>
    </row>
    <row r="690" spans="1:18" ht="12.75" hidden="1">
      <c r="A690" s="3" t="s">
        <v>282</v>
      </c>
      <c r="B690" s="11" t="s">
        <v>283</v>
      </c>
      <c r="E690" s="3" t="s">
        <v>2960</v>
      </c>
      <c r="F690" s="19">
        <v>9740</v>
      </c>
      <c r="G690" s="19">
        <v>9231.98</v>
      </c>
      <c r="H690" s="19">
        <v>10223.26</v>
      </c>
      <c r="I690" s="8">
        <v>9966.91</v>
      </c>
      <c r="J690" s="9">
        <v>5716.08</v>
      </c>
      <c r="K690" s="10">
        <v>0</v>
      </c>
      <c r="L690" s="9">
        <v>0</v>
      </c>
      <c r="M690" s="9">
        <v>0</v>
      </c>
      <c r="N690" s="9">
        <v>0</v>
      </c>
      <c r="O690" s="9">
        <v>0</v>
      </c>
      <c r="P690" s="9">
        <v>0</v>
      </c>
      <c r="Q690" s="9">
        <v>0</v>
      </c>
      <c r="R690" s="9">
        <v>0</v>
      </c>
    </row>
    <row r="691" spans="1:18" ht="12.75" hidden="1">
      <c r="A691" s="3" t="s">
        <v>1103</v>
      </c>
      <c r="B691" s="11" t="s">
        <v>1104</v>
      </c>
      <c r="E691" s="3" t="s">
        <v>1105</v>
      </c>
      <c r="F691" s="19">
        <v>14243</v>
      </c>
      <c r="G691" s="19">
        <v>12221.37</v>
      </c>
      <c r="H691" s="19">
        <v>12972.44</v>
      </c>
      <c r="I691" s="8">
        <v>203.34</v>
      </c>
      <c r="J691" s="10">
        <v>0</v>
      </c>
      <c r="K691" s="10">
        <v>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v>0</v>
      </c>
      <c r="R691" s="9">
        <v>0</v>
      </c>
    </row>
    <row r="692" spans="1:18" ht="12.75" hidden="1">
      <c r="A692" s="3" t="s">
        <v>284</v>
      </c>
      <c r="B692" s="11" t="s">
        <v>295</v>
      </c>
      <c r="E692" s="3" t="s">
        <v>2963</v>
      </c>
      <c r="F692" s="19">
        <v>874</v>
      </c>
      <c r="G692" s="19">
        <v>879.15</v>
      </c>
      <c r="H692" s="19">
        <v>2358.33</v>
      </c>
      <c r="I692" s="8">
        <v>2818.15</v>
      </c>
      <c r="J692" s="9">
        <v>1488.6</v>
      </c>
      <c r="K692" s="10">
        <v>0</v>
      </c>
      <c r="L692" s="9">
        <v>0</v>
      </c>
      <c r="M692" s="9">
        <v>0</v>
      </c>
      <c r="N692" s="9">
        <v>0</v>
      </c>
      <c r="O692" s="9">
        <v>0</v>
      </c>
      <c r="P692" s="9">
        <v>0</v>
      </c>
      <c r="Q692" s="9">
        <v>0</v>
      </c>
      <c r="R692" s="9">
        <v>0</v>
      </c>
    </row>
    <row r="693" spans="2:17" ht="12.75">
      <c r="B693" s="50" t="s">
        <v>298</v>
      </c>
      <c r="C693" s="49">
        <v>524600</v>
      </c>
      <c r="D693" s="49"/>
      <c r="E693" s="3" t="s">
        <v>299</v>
      </c>
      <c r="F693" s="19">
        <v>0</v>
      </c>
      <c r="G693" s="19">
        <v>0</v>
      </c>
      <c r="H693" s="19">
        <v>2999.43</v>
      </c>
      <c r="I693" s="8">
        <v>3106.86</v>
      </c>
      <c r="J693" s="9">
        <v>1015</v>
      </c>
      <c r="K693" s="10">
        <v>2741.18</v>
      </c>
      <c r="L693" s="9">
        <v>3143.95</v>
      </c>
      <c r="M693" s="9">
        <v>8388.97</v>
      </c>
      <c r="N693" s="9">
        <v>3111.2</v>
      </c>
      <c r="O693" s="9">
        <v>3000</v>
      </c>
      <c r="P693" s="9">
        <v>3000</v>
      </c>
      <c r="Q693" s="9">
        <v>5000</v>
      </c>
    </row>
    <row r="694" spans="1:17" ht="12.75">
      <c r="A694" s="3" t="s">
        <v>296</v>
      </c>
      <c r="B694" s="11" t="s">
        <v>297</v>
      </c>
      <c r="C694" s="36">
        <v>527200</v>
      </c>
      <c r="E694" s="3" t="s">
        <v>2321</v>
      </c>
      <c r="F694" s="19">
        <v>2336</v>
      </c>
      <c r="G694" s="19">
        <v>1986.78</v>
      </c>
      <c r="H694" s="19">
        <v>2407.45</v>
      </c>
      <c r="I694" s="8">
        <v>2427.79</v>
      </c>
      <c r="J694" s="9">
        <v>2267.93</v>
      </c>
      <c r="K694" s="10">
        <v>2491.71</v>
      </c>
      <c r="L694" s="9">
        <v>2098.7</v>
      </c>
      <c r="M694" s="9">
        <v>3264.97</v>
      </c>
      <c r="N694" s="9">
        <v>2842.18</v>
      </c>
      <c r="O694" s="9">
        <v>3000</v>
      </c>
      <c r="P694" s="9">
        <v>3000</v>
      </c>
      <c r="Q694" s="9">
        <v>3000</v>
      </c>
    </row>
    <row r="695" spans="3:17" ht="12.75">
      <c r="C695" s="36" t="s">
        <v>3223</v>
      </c>
      <c r="E695" s="3" t="s">
        <v>2505</v>
      </c>
      <c r="K695" s="10"/>
      <c r="Q695" s="9">
        <v>7000</v>
      </c>
    </row>
    <row r="696" spans="1:17" ht="12.75">
      <c r="A696" s="3" t="s">
        <v>300</v>
      </c>
      <c r="B696" s="11" t="s">
        <v>301</v>
      </c>
      <c r="C696" s="36">
        <v>542100</v>
      </c>
      <c r="E696" s="3" t="s">
        <v>2335</v>
      </c>
      <c r="F696" s="19">
        <v>1971</v>
      </c>
      <c r="G696" s="19">
        <v>2040.92</v>
      </c>
      <c r="H696" s="19">
        <v>1127.85</v>
      </c>
      <c r="I696" s="8">
        <v>2134.1</v>
      </c>
      <c r="J696" s="9">
        <v>615.61</v>
      </c>
      <c r="K696" s="10">
        <v>1722.7</v>
      </c>
      <c r="L696" s="9">
        <v>1737.2</v>
      </c>
      <c r="M696" s="9">
        <v>4419.56</v>
      </c>
      <c r="N696" s="9">
        <v>2844.54</v>
      </c>
      <c r="O696" s="9">
        <v>2497</v>
      </c>
      <c r="P696" s="9">
        <v>4000</v>
      </c>
      <c r="Q696" s="9">
        <v>3000</v>
      </c>
    </row>
    <row r="697" spans="1:17" ht="12.75">
      <c r="A697" s="3" t="s">
        <v>302</v>
      </c>
      <c r="B697" s="11" t="s">
        <v>303</v>
      </c>
      <c r="C697" s="36">
        <v>542100</v>
      </c>
      <c r="E697" s="3" t="s">
        <v>2709</v>
      </c>
      <c r="F697" s="19">
        <v>1249</v>
      </c>
      <c r="G697" s="19">
        <v>465.58</v>
      </c>
      <c r="H697" s="19">
        <v>421.39</v>
      </c>
      <c r="I697" s="8">
        <v>494.21</v>
      </c>
      <c r="J697" s="9">
        <v>362.43</v>
      </c>
      <c r="K697" s="10">
        <v>479.6</v>
      </c>
      <c r="L697" s="9">
        <v>496.66</v>
      </c>
      <c r="M697" s="9">
        <v>455.81</v>
      </c>
      <c r="N697" s="9">
        <v>478.8</v>
      </c>
      <c r="O697" s="9">
        <v>750</v>
      </c>
      <c r="P697" s="9">
        <v>100</v>
      </c>
      <c r="Q697" s="9">
        <v>700</v>
      </c>
    </row>
    <row r="698" spans="5:17" ht="12.75">
      <c r="E698" s="3" t="s">
        <v>2506</v>
      </c>
      <c r="K698" s="10"/>
      <c r="Q698" s="9">
        <v>1500</v>
      </c>
    </row>
    <row r="699" spans="2:17" ht="12.75">
      <c r="B699" s="11" t="s">
        <v>1902</v>
      </c>
      <c r="C699" s="36">
        <v>542400</v>
      </c>
      <c r="E699" s="3" t="s">
        <v>1330</v>
      </c>
      <c r="K699" s="10"/>
      <c r="O699" s="9">
        <v>1000</v>
      </c>
      <c r="P699" s="9">
        <v>647</v>
      </c>
      <c r="Q699" s="9">
        <v>1000</v>
      </c>
    </row>
    <row r="700" spans="2:17" ht="12.75">
      <c r="B700" s="11" t="s">
        <v>1902</v>
      </c>
      <c r="C700" s="36">
        <v>543200</v>
      </c>
      <c r="E700" s="3" t="s">
        <v>1329</v>
      </c>
      <c r="K700" s="10"/>
      <c r="O700" s="9">
        <v>1200</v>
      </c>
      <c r="P700" s="9">
        <v>1200</v>
      </c>
      <c r="Q700" s="9">
        <v>19000</v>
      </c>
    </row>
    <row r="701" spans="3:17" ht="12.75">
      <c r="C701" s="36" t="s">
        <v>3223</v>
      </c>
      <c r="E701" s="3" t="s">
        <v>2963</v>
      </c>
      <c r="K701" s="10"/>
      <c r="Q701" s="9">
        <v>1200</v>
      </c>
    </row>
    <row r="702" spans="1:17" ht="12.75">
      <c r="A702" s="3" t="s">
        <v>304</v>
      </c>
      <c r="B702" s="11" t="s">
        <v>305</v>
      </c>
      <c r="C702" s="36">
        <v>545000</v>
      </c>
      <c r="E702" s="3" t="s">
        <v>1108</v>
      </c>
      <c r="F702" s="19">
        <v>7729</v>
      </c>
      <c r="G702" s="19">
        <v>12184.97</v>
      </c>
      <c r="H702" s="19">
        <v>7529.48</v>
      </c>
      <c r="I702" s="8">
        <v>9183.61</v>
      </c>
      <c r="J702" s="9">
        <v>9382.05</v>
      </c>
      <c r="K702" s="10">
        <v>8436.94</v>
      </c>
      <c r="L702" s="9">
        <v>9551.23</v>
      </c>
      <c r="M702" s="9">
        <v>11109.16</v>
      </c>
      <c r="N702" s="9">
        <v>10891.45</v>
      </c>
      <c r="O702" s="9">
        <v>5800</v>
      </c>
      <c r="P702" s="9">
        <v>5400</v>
      </c>
      <c r="Q702" s="9">
        <v>7500</v>
      </c>
    </row>
    <row r="703" spans="1:17" ht="12.75">
      <c r="A703" s="3" t="s">
        <v>306</v>
      </c>
      <c r="B703" s="11" t="s">
        <v>307</v>
      </c>
      <c r="C703" s="36">
        <v>552900</v>
      </c>
      <c r="E703" s="3" t="s">
        <v>2264</v>
      </c>
      <c r="F703" s="19">
        <v>461</v>
      </c>
      <c r="G703" s="19">
        <v>795.49</v>
      </c>
      <c r="H703" s="19">
        <v>476.45</v>
      </c>
      <c r="I703" s="8">
        <v>1038.89</v>
      </c>
      <c r="J703" s="9">
        <v>544.97</v>
      </c>
      <c r="K703" s="10">
        <v>544.92</v>
      </c>
      <c r="L703" s="9">
        <v>652</v>
      </c>
      <c r="M703" s="9">
        <v>660.5</v>
      </c>
      <c r="N703" s="9">
        <v>1209.4</v>
      </c>
      <c r="O703" s="9">
        <v>800</v>
      </c>
      <c r="P703" s="9">
        <v>700</v>
      </c>
      <c r="Q703" s="9">
        <v>800</v>
      </c>
    </row>
    <row r="704" spans="1:17" ht="12.75">
      <c r="A704" s="3" t="s">
        <v>308</v>
      </c>
      <c r="B704" s="11" t="s">
        <v>309</v>
      </c>
      <c r="C704" s="36">
        <v>571000</v>
      </c>
      <c r="E704" s="3" t="s">
        <v>310</v>
      </c>
      <c r="F704" s="19">
        <v>702</v>
      </c>
      <c r="G704" s="19">
        <v>0</v>
      </c>
      <c r="H704" s="19">
        <v>417.1</v>
      </c>
      <c r="I704" s="8">
        <v>350</v>
      </c>
      <c r="J704" s="9">
        <v>1559.27</v>
      </c>
      <c r="K704" s="10">
        <v>0</v>
      </c>
      <c r="L704" s="9">
        <v>293.8</v>
      </c>
      <c r="M704" s="9">
        <v>738.4</v>
      </c>
      <c r="N704" s="9">
        <v>591.61</v>
      </c>
      <c r="O704" s="9">
        <v>800</v>
      </c>
      <c r="P704" s="9">
        <v>900</v>
      </c>
      <c r="Q704" s="9">
        <v>900</v>
      </c>
    </row>
    <row r="705" spans="1:17" ht="12.75">
      <c r="A705" s="3" t="s">
        <v>311</v>
      </c>
      <c r="B705" s="11" t="s">
        <v>312</v>
      </c>
      <c r="C705" s="36">
        <v>573000</v>
      </c>
      <c r="E705" s="3" t="s">
        <v>3001</v>
      </c>
      <c r="F705" s="19">
        <v>1686</v>
      </c>
      <c r="G705" s="19">
        <v>1744.1</v>
      </c>
      <c r="H705" s="19">
        <v>2004.18</v>
      </c>
      <c r="I705" s="8">
        <v>1721</v>
      </c>
      <c r="J705" s="9">
        <v>0</v>
      </c>
      <c r="K705" s="10">
        <v>1597.5</v>
      </c>
      <c r="L705" s="9">
        <v>2484.5</v>
      </c>
      <c r="M705" s="9">
        <v>1605.5</v>
      </c>
      <c r="N705" s="9">
        <v>1589.65</v>
      </c>
      <c r="O705" s="9">
        <v>1000</v>
      </c>
      <c r="P705" s="9">
        <v>900</v>
      </c>
      <c r="Q705" s="9">
        <v>1000</v>
      </c>
    </row>
    <row r="706" spans="2:15" ht="12.75" hidden="1">
      <c r="B706" s="11" t="s">
        <v>1902</v>
      </c>
      <c r="E706" s="3" t="s">
        <v>2963</v>
      </c>
      <c r="K706" s="10"/>
      <c r="O706" s="9">
        <v>0</v>
      </c>
    </row>
    <row r="707" spans="5:18" ht="12.75">
      <c r="E707" s="20" t="s">
        <v>2274</v>
      </c>
      <c r="F707" s="21">
        <f aca="true" t="shared" si="151" ref="F707:K707">SUM(F705:F706)</f>
        <v>1686</v>
      </c>
      <c r="G707" s="21">
        <f t="shared" si="151"/>
        <v>1744.1</v>
      </c>
      <c r="H707" s="21">
        <f t="shared" si="151"/>
        <v>2004.18</v>
      </c>
      <c r="I707" s="22">
        <f t="shared" si="151"/>
        <v>1721</v>
      </c>
      <c r="J707" s="23">
        <f t="shared" si="151"/>
        <v>0</v>
      </c>
      <c r="K707" s="23">
        <f t="shared" si="151"/>
        <v>1597.5</v>
      </c>
      <c r="L707" s="7">
        <f>SUM(L693:L706)</f>
        <v>20458.039999999997</v>
      </c>
      <c r="M707" s="7">
        <f aca="true" t="shared" si="152" ref="M707:R707">SUM(M693:M706)</f>
        <v>30642.870000000003</v>
      </c>
      <c r="N707" s="7">
        <f t="shared" si="152"/>
        <v>23558.83</v>
      </c>
      <c r="O707" s="7">
        <f t="shared" si="152"/>
        <v>19847</v>
      </c>
      <c r="P707" s="7">
        <f t="shared" si="152"/>
        <v>19847</v>
      </c>
      <c r="Q707" s="7">
        <f t="shared" si="152"/>
        <v>51600</v>
      </c>
      <c r="R707" s="7">
        <f t="shared" si="152"/>
        <v>0</v>
      </c>
    </row>
    <row r="708" spans="6:8" ht="12.75">
      <c r="F708" s="37"/>
      <c r="G708" s="37"/>
      <c r="H708" s="37"/>
    </row>
    <row r="709" spans="5:18" ht="12.75">
      <c r="E709" s="2" t="s">
        <v>313</v>
      </c>
      <c r="F709" s="31">
        <f aca="true" t="shared" si="153" ref="F709:K709">SUM(F676:F707)/2</f>
        <v>187366.5</v>
      </c>
      <c r="G709" s="31">
        <f t="shared" si="153"/>
        <v>212434.87999999998</v>
      </c>
      <c r="H709" s="31">
        <f t="shared" si="153"/>
        <v>228578.34000000003</v>
      </c>
      <c r="I709" s="28">
        <f t="shared" si="153"/>
        <v>229349.46</v>
      </c>
      <c r="J709" s="28">
        <f t="shared" si="153"/>
        <v>245224.78999999998</v>
      </c>
      <c r="K709" s="28">
        <f t="shared" si="153"/>
        <v>261040.165</v>
      </c>
      <c r="L709" s="32">
        <f>SUM(L676:L707)/2</f>
        <v>279205.59</v>
      </c>
      <c r="M709" s="32">
        <f aca="true" t="shared" si="154" ref="M709:R709">SUM(M676:M707)/2</f>
        <v>273037.49</v>
      </c>
      <c r="N709" s="32">
        <f t="shared" si="154"/>
        <v>266700.14</v>
      </c>
      <c r="O709" s="32">
        <f t="shared" si="154"/>
        <v>301780</v>
      </c>
      <c r="P709" s="32">
        <f t="shared" si="154"/>
        <v>309993</v>
      </c>
      <c r="Q709" s="32">
        <f t="shared" si="154"/>
        <v>347090</v>
      </c>
      <c r="R709" s="32">
        <f t="shared" si="154"/>
        <v>0</v>
      </c>
    </row>
    <row r="710" spans="5:18" ht="12.75">
      <c r="E710" s="2"/>
      <c r="F710" s="31"/>
      <c r="G710" s="31"/>
      <c r="H710" s="31"/>
      <c r="I710" s="28"/>
      <c r="J710" s="28"/>
      <c r="K710" s="28"/>
      <c r="L710" s="32"/>
      <c r="M710" s="32"/>
      <c r="N710" s="32"/>
      <c r="O710" s="32"/>
      <c r="P710" s="32"/>
      <c r="Q710" s="32"/>
      <c r="R710" s="32"/>
    </row>
    <row r="711" spans="1:5" ht="12.75">
      <c r="A711" s="3" t="s">
        <v>2180</v>
      </c>
      <c r="E711" s="163" t="s">
        <v>314</v>
      </c>
    </row>
    <row r="712" spans="3:4" ht="12.75">
      <c r="C712" s="196">
        <v>12221</v>
      </c>
      <c r="D712" s="196"/>
    </row>
    <row r="713" spans="1:17" ht="12.75">
      <c r="A713" s="3" t="s">
        <v>315</v>
      </c>
      <c r="B713" s="11" t="s">
        <v>316</v>
      </c>
      <c r="C713" s="36">
        <v>511000</v>
      </c>
      <c r="E713" s="3" t="s">
        <v>2363</v>
      </c>
      <c r="F713" s="19">
        <v>1678385</v>
      </c>
      <c r="G713" s="19">
        <v>1760281.77</v>
      </c>
      <c r="H713" s="19">
        <v>1851481.93</v>
      </c>
      <c r="I713" s="8">
        <v>1900494.27</v>
      </c>
      <c r="J713" s="9">
        <v>2013675.72</v>
      </c>
      <c r="K713" s="10">
        <v>2104984.16</v>
      </c>
      <c r="L713" s="9">
        <v>2048199.08</v>
      </c>
      <c r="M713" s="9">
        <v>2419331.05</v>
      </c>
      <c r="N713" s="9">
        <v>2496305.35</v>
      </c>
      <c r="O713" s="9">
        <v>2612964</v>
      </c>
      <c r="P713" s="9">
        <v>2595966</v>
      </c>
      <c r="Q713" s="9">
        <v>2628341</v>
      </c>
    </row>
    <row r="714" spans="1:17" ht="12.75">
      <c r="A714" s="3" t="s">
        <v>317</v>
      </c>
      <c r="B714" s="11" t="s">
        <v>318</v>
      </c>
      <c r="C714" s="36">
        <v>513000</v>
      </c>
      <c r="E714" s="3" t="s">
        <v>2186</v>
      </c>
      <c r="F714" s="19">
        <v>243898</v>
      </c>
      <c r="G714" s="19">
        <v>195381</v>
      </c>
      <c r="H714" s="19">
        <v>266265.52</v>
      </c>
      <c r="I714" s="8">
        <v>328297.7</v>
      </c>
      <c r="J714" s="9">
        <v>256843.08</v>
      </c>
      <c r="K714" s="10">
        <v>272466.26</v>
      </c>
      <c r="L714" s="9">
        <v>288884.56</v>
      </c>
      <c r="M714" s="9">
        <v>348571.58</v>
      </c>
      <c r="N714" s="9">
        <v>313822.7</v>
      </c>
      <c r="O714" s="9">
        <f>250000+71900</f>
        <v>321900</v>
      </c>
      <c r="P714" s="9">
        <v>305000</v>
      </c>
      <c r="Q714" s="9">
        <v>330000</v>
      </c>
    </row>
    <row r="715" spans="1:17" ht="12.75">
      <c r="A715" s="3" t="s">
        <v>326</v>
      </c>
      <c r="B715" s="11" t="s">
        <v>327</v>
      </c>
      <c r="C715" s="36">
        <v>514300</v>
      </c>
      <c r="E715" s="3" t="s">
        <v>328</v>
      </c>
      <c r="F715" s="19">
        <v>8196</v>
      </c>
      <c r="G715" s="19">
        <v>11952.96</v>
      </c>
      <c r="H715" s="19">
        <v>10304.78</v>
      </c>
      <c r="I715" s="8">
        <v>8539.35</v>
      </c>
      <c r="J715" s="9">
        <v>12098.58</v>
      </c>
      <c r="K715" s="10">
        <v>12956.15</v>
      </c>
      <c r="L715" s="9">
        <v>7689.35</v>
      </c>
      <c r="M715" s="9">
        <v>11991.06</v>
      </c>
      <c r="N715" s="9">
        <v>13249.53</v>
      </c>
      <c r="O715" s="9">
        <v>13000</v>
      </c>
      <c r="P715" s="9">
        <v>13000</v>
      </c>
      <c r="Q715" s="9">
        <v>13350</v>
      </c>
    </row>
    <row r="716" spans="1:17" ht="12.75">
      <c r="A716" s="3" t="s">
        <v>324</v>
      </c>
      <c r="B716" s="11" t="s">
        <v>325</v>
      </c>
      <c r="C716" s="36">
        <v>514700</v>
      </c>
      <c r="E716" s="3" t="s">
        <v>3050</v>
      </c>
      <c r="F716" s="19">
        <v>18125</v>
      </c>
      <c r="G716" s="19">
        <v>18627.3</v>
      </c>
      <c r="H716" s="19">
        <v>19782.15</v>
      </c>
      <c r="I716" s="8">
        <v>21072.79</v>
      </c>
      <c r="J716" s="9">
        <v>23993.15</v>
      </c>
      <c r="K716" s="10">
        <v>24920.7</v>
      </c>
      <c r="L716" s="9">
        <v>23800.87</v>
      </c>
      <c r="M716" s="9">
        <v>27962.99</v>
      </c>
      <c r="N716" s="9">
        <v>28872.89</v>
      </c>
      <c r="O716" s="9">
        <v>30485</v>
      </c>
      <c r="P716" s="9">
        <v>30681</v>
      </c>
      <c r="Q716" s="9">
        <v>30681</v>
      </c>
    </row>
    <row r="717" spans="1:17" ht="12.75">
      <c r="A717" s="35" t="s">
        <v>613</v>
      </c>
      <c r="B717" s="50" t="s">
        <v>611</v>
      </c>
      <c r="C717" s="49">
        <v>514800</v>
      </c>
      <c r="D717" s="49"/>
      <c r="E717" s="3" t="s">
        <v>2288</v>
      </c>
      <c r="J717" s="9">
        <v>13597.36</v>
      </c>
      <c r="K717" s="10">
        <v>24286.37</v>
      </c>
      <c r="L717" s="9">
        <v>22366.89</v>
      </c>
      <c r="M717" s="9">
        <v>17837.74</v>
      </c>
      <c r="N717" s="9">
        <v>14842.32</v>
      </c>
      <c r="O717" s="9">
        <v>12486</v>
      </c>
      <c r="P717" s="9">
        <v>15203</v>
      </c>
      <c r="Q717" s="9">
        <v>15184</v>
      </c>
    </row>
    <row r="718" spans="1:17" ht="12.75">
      <c r="A718" s="3" t="s">
        <v>322</v>
      </c>
      <c r="B718" s="11" t="s">
        <v>323</v>
      </c>
      <c r="C718" s="36">
        <v>514900</v>
      </c>
      <c r="E718" s="3" t="s">
        <v>2944</v>
      </c>
      <c r="F718" s="19">
        <v>88449</v>
      </c>
      <c r="G718" s="19">
        <v>92314.09</v>
      </c>
      <c r="H718" s="19">
        <v>97550.67</v>
      </c>
      <c r="I718" s="8">
        <v>98798.09</v>
      </c>
      <c r="J718" s="9">
        <v>106804.71</v>
      </c>
      <c r="K718" s="10">
        <v>109830.64</v>
      </c>
      <c r="L718" s="9">
        <v>106868.65</v>
      </c>
      <c r="M718" s="9">
        <v>126799.58</v>
      </c>
      <c r="N718" s="9">
        <v>130939.5</v>
      </c>
      <c r="O718" s="9">
        <v>134779</v>
      </c>
      <c r="P718" s="9">
        <v>138256</v>
      </c>
      <c r="Q718" s="9">
        <v>138256</v>
      </c>
    </row>
    <row r="719" spans="1:17" ht="12.75">
      <c r="A719" s="3" t="s">
        <v>331</v>
      </c>
      <c r="B719" s="11" t="s">
        <v>332</v>
      </c>
      <c r="C719" s="36">
        <v>517000</v>
      </c>
      <c r="E719" s="3" t="s">
        <v>2222</v>
      </c>
      <c r="F719" s="19">
        <v>284295</v>
      </c>
      <c r="G719" s="19">
        <v>283222</v>
      </c>
      <c r="H719" s="19">
        <v>329432</v>
      </c>
      <c r="I719" s="8">
        <v>249452</v>
      </c>
      <c r="J719" s="9">
        <v>301965</v>
      </c>
      <c r="K719" s="10">
        <v>364946</v>
      </c>
      <c r="L719" s="9">
        <v>400763</v>
      </c>
      <c r="M719" s="9">
        <v>497373.04</v>
      </c>
      <c r="N719" s="9">
        <v>597412</v>
      </c>
      <c r="O719" s="9">
        <v>662832</v>
      </c>
      <c r="P719" s="9">
        <v>662832</v>
      </c>
      <c r="Q719" s="9">
        <v>693766</v>
      </c>
    </row>
    <row r="720" spans="1:17" ht="12.75">
      <c r="A720" s="3" t="s">
        <v>333</v>
      </c>
      <c r="B720" s="11" t="s">
        <v>334</v>
      </c>
      <c r="C720" s="36">
        <v>517800</v>
      </c>
      <c r="E720" s="3" t="s">
        <v>2298</v>
      </c>
      <c r="F720" s="19">
        <v>2953</v>
      </c>
      <c r="G720" s="19">
        <v>6333</v>
      </c>
      <c r="H720" s="19">
        <v>6651</v>
      </c>
      <c r="I720" s="8">
        <v>7950</v>
      </c>
      <c r="J720" s="9">
        <v>11810</v>
      </c>
      <c r="K720" s="10">
        <v>14950</v>
      </c>
      <c r="L720" s="9">
        <v>14950</v>
      </c>
      <c r="M720" s="9">
        <v>24042</v>
      </c>
      <c r="N720" s="9">
        <v>24880</v>
      </c>
      <c r="O720" s="9">
        <v>29014</v>
      </c>
      <c r="P720" s="9">
        <v>29014</v>
      </c>
      <c r="Q720" s="9">
        <v>31885</v>
      </c>
    </row>
    <row r="721" spans="1:17" ht="12.75">
      <c r="A721" s="3" t="s">
        <v>329</v>
      </c>
      <c r="B721" s="11" t="s">
        <v>330</v>
      </c>
      <c r="C721" s="36">
        <v>517900</v>
      </c>
      <c r="E721" s="3" t="s">
        <v>2219</v>
      </c>
      <c r="F721" s="19">
        <v>1152</v>
      </c>
      <c r="G721" s="19">
        <v>1152</v>
      </c>
      <c r="H721" s="19">
        <v>1152</v>
      </c>
      <c r="I721" s="8">
        <v>0</v>
      </c>
      <c r="J721" s="9">
        <v>0</v>
      </c>
      <c r="K721" s="10">
        <v>0</v>
      </c>
      <c r="L721" s="9">
        <v>0</v>
      </c>
      <c r="M721" s="9">
        <v>0</v>
      </c>
      <c r="N721" s="9">
        <v>0</v>
      </c>
      <c r="O721" s="9">
        <v>512</v>
      </c>
      <c r="P721" s="9">
        <v>512</v>
      </c>
      <c r="Q721" s="9">
        <v>882</v>
      </c>
    </row>
    <row r="722" spans="1:17" ht="12.75">
      <c r="A722" s="3" t="s">
        <v>335</v>
      </c>
      <c r="B722" s="11" t="s">
        <v>336</v>
      </c>
      <c r="C722" s="36">
        <v>519002</v>
      </c>
      <c r="E722" s="3" t="s">
        <v>1310</v>
      </c>
      <c r="F722" s="19">
        <v>44055</v>
      </c>
      <c r="G722" s="19">
        <v>42984.51</v>
      </c>
      <c r="H722" s="19">
        <v>42701.85</v>
      </c>
      <c r="I722" s="8">
        <v>42545.37</v>
      </c>
      <c r="J722" s="9">
        <v>43529.64</v>
      </c>
      <c r="K722" s="10">
        <v>46457.19</v>
      </c>
      <c r="L722" s="9">
        <v>43792.11</v>
      </c>
      <c r="M722" s="9">
        <v>50697.09</v>
      </c>
      <c r="N722" s="9">
        <v>51425.11</v>
      </c>
      <c r="O722" s="9">
        <v>54600</v>
      </c>
      <c r="P722" s="9">
        <v>54400</v>
      </c>
      <c r="Q722" s="9">
        <v>56700</v>
      </c>
    </row>
    <row r="723" spans="2:17" ht="12.75">
      <c r="B723" s="11">
        <v>5789.5</v>
      </c>
      <c r="C723" s="36">
        <v>519200</v>
      </c>
      <c r="E723" s="3" t="s">
        <v>1305</v>
      </c>
      <c r="K723" s="10"/>
      <c r="N723" s="9">
        <v>24404.37</v>
      </c>
      <c r="O723" s="9">
        <v>24894</v>
      </c>
      <c r="P723" s="9">
        <v>24894</v>
      </c>
      <c r="Q723" s="9">
        <v>24894</v>
      </c>
    </row>
    <row r="724" spans="1:17" ht="12.75">
      <c r="A724" s="3" t="s">
        <v>337</v>
      </c>
      <c r="B724" s="11" t="s">
        <v>338</v>
      </c>
      <c r="C724" s="36">
        <v>519500</v>
      </c>
      <c r="E724" s="3" t="s">
        <v>339</v>
      </c>
      <c r="F724" s="19">
        <v>2397</v>
      </c>
      <c r="G724" s="19">
        <v>3807.8</v>
      </c>
      <c r="H724" s="19">
        <v>9467.24</v>
      </c>
      <c r="I724" s="8">
        <v>852.01</v>
      </c>
      <c r="J724" s="9">
        <v>5835.62</v>
      </c>
      <c r="K724" s="10">
        <v>850</v>
      </c>
      <c r="L724" s="9">
        <v>1072</v>
      </c>
      <c r="M724" s="9">
        <v>20320.23</v>
      </c>
      <c r="N724" s="9">
        <v>13676.32</v>
      </c>
      <c r="O724" s="9">
        <v>5000</v>
      </c>
      <c r="P724" s="9">
        <v>1000</v>
      </c>
      <c r="Q724" s="9">
        <v>5000</v>
      </c>
    </row>
    <row r="725" spans="1:17" ht="12.75">
      <c r="A725" s="3" t="s">
        <v>319</v>
      </c>
      <c r="B725" s="11" t="s">
        <v>320</v>
      </c>
      <c r="C725" s="36">
        <v>519800</v>
      </c>
      <c r="E725" s="3" t="s">
        <v>321</v>
      </c>
      <c r="F725" s="19">
        <v>13757</v>
      </c>
      <c r="G725" s="19">
        <v>13406.25</v>
      </c>
      <c r="H725" s="19">
        <v>13067.69</v>
      </c>
      <c r="I725" s="8">
        <v>10837.5</v>
      </c>
      <c r="J725" s="9">
        <v>9473.6</v>
      </c>
      <c r="K725" s="10">
        <v>10736.48</v>
      </c>
      <c r="L725" s="9">
        <v>11617.2</v>
      </c>
      <c r="M725" s="9">
        <v>17169.5</v>
      </c>
      <c r="N725" s="9">
        <v>16236.8</v>
      </c>
      <c r="O725" s="9">
        <v>16000</v>
      </c>
      <c r="P725" s="9">
        <v>15555</v>
      </c>
      <c r="Q725" s="9">
        <v>16000</v>
      </c>
    </row>
    <row r="726" spans="1:14" ht="12.75">
      <c r="A726" s="3" t="s">
        <v>340</v>
      </c>
      <c r="B726" s="11" t="s">
        <v>341</v>
      </c>
      <c r="E726" s="3" t="s">
        <v>228</v>
      </c>
      <c r="F726" s="19">
        <v>37821</v>
      </c>
      <c r="G726" s="19">
        <v>40275.69</v>
      </c>
      <c r="H726" s="19">
        <v>42268.21</v>
      </c>
      <c r="I726" s="8">
        <v>74936.07</v>
      </c>
      <c r="J726" s="9">
        <v>49620.59</v>
      </c>
      <c r="K726" s="10">
        <v>72854.44</v>
      </c>
      <c r="L726" s="9">
        <v>85517.04</v>
      </c>
      <c r="M726" s="9">
        <v>0</v>
      </c>
      <c r="N726" s="9">
        <v>0</v>
      </c>
    </row>
    <row r="727" spans="5:18" ht="12.75">
      <c r="E727" s="20" t="s">
        <v>2187</v>
      </c>
      <c r="F727" s="21">
        <f>SUM(F713:F725)</f>
        <v>2385662</v>
      </c>
      <c r="G727" s="21">
        <f>SUM(G713:G725)</f>
        <v>2429462.6799999997</v>
      </c>
      <c r="H727" s="21">
        <f>SUM(H713:H725)</f>
        <v>2647856.83</v>
      </c>
      <c r="I727" s="22">
        <f>SUM(I713:I725)</f>
        <v>2668839.08</v>
      </c>
      <c r="J727" s="23">
        <f aca="true" t="shared" si="155" ref="J727:R727">SUM(J713:J726)</f>
        <v>2849247.05</v>
      </c>
      <c r="K727" s="23">
        <f t="shared" si="155"/>
        <v>3060238.39</v>
      </c>
      <c r="L727" s="23">
        <f t="shared" si="155"/>
        <v>3055520.7500000005</v>
      </c>
      <c r="M727" s="23">
        <f t="shared" si="155"/>
        <v>3562095.8600000003</v>
      </c>
      <c r="N727" s="23">
        <f t="shared" si="155"/>
        <v>3726066.8899999997</v>
      </c>
      <c r="O727" s="23">
        <f t="shared" si="155"/>
        <v>3918466</v>
      </c>
      <c r="P727" s="23">
        <f t="shared" si="155"/>
        <v>3886313</v>
      </c>
      <c r="Q727" s="23">
        <f t="shared" si="155"/>
        <v>3984939</v>
      </c>
      <c r="R727" s="23">
        <f t="shared" si="155"/>
        <v>0</v>
      </c>
    </row>
    <row r="728" spans="3:4" ht="12.75">
      <c r="C728" s="196">
        <v>12222</v>
      </c>
      <c r="D728" s="196"/>
    </row>
    <row r="729" spans="1:17" ht="12.75">
      <c r="A729" s="3" t="s">
        <v>351</v>
      </c>
      <c r="B729" s="11" t="s">
        <v>352</v>
      </c>
      <c r="C729" s="36">
        <v>524400</v>
      </c>
      <c r="E729" s="3" t="s">
        <v>353</v>
      </c>
      <c r="F729" s="19">
        <v>44972</v>
      </c>
      <c r="G729" s="19">
        <v>37328.98</v>
      </c>
      <c r="H729" s="19">
        <v>32788.15</v>
      </c>
      <c r="I729" s="8">
        <v>22887.04</v>
      </c>
      <c r="J729" s="9">
        <v>37480.1</v>
      </c>
      <c r="K729" s="10">
        <v>51601.28</v>
      </c>
      <c r="L729" s="9">
        <v>35346.98</v>
      </c>
      <c r="M729" s="9">
        <v>39604.2</v>
      </c>
      <c r="N729" s="9">
        <v>52220.26</v>
      </c>
      <c r="O729" s="9">
        <v>28000</v>
      </c>
      <c r="P729" s="9">
        <v>28000</v>
      </c>
      <c r="Q729" s="9">
        <v>30000</v>
      </c>
    </row>
    <row r="730" spans="1:17" ht="12.75">
      <c r="A730" s="3" t="s">
        <v>345</v>
      </c>
      <c r="B730" s="11" t="s">
        <v>346</v>
      </c>
      <c r="C730" s="36">
        <v>524501</v>
      </c>
      <c r="E730" s="3" t="s">
        <v>347</v>
      </c>
      <c r="F730" s="19">
        <v>5820</v>
      </c>
      <c r="G730" s="19">
        <v>2097.31</v>
      </c>
      <c r="H730" s="19">
        <v>11177.19</v>
      </c>
      <c r="I730" s="8">
        <v>1994.9</v>
      </c>
      <c r="J730" s="9">
        <v>487.7</v>
      </c>
      <c r="K730" s="10">
        <v>3043.9</v>
      </c>
      <c r="L730" s="9">
        <v>3222.89</v>
      </c>
      <c r="M730" s="9">
        <v>4549.57</v>
      </c>
      <c r="N730" s="9">
        <v>6605.11</v>
      </c>
      <c r="O730" s="9">
        <v>5000</v>
      </c>
      <c r="P730" s="9">
        <v>5000</v>
      </c>
      <c r="Q730" s="9">
        <v>6000</v>
      </c>
    </row>
    <row r="731" spans="3:17" ht="12.75">
      <c r="C731" s="36" t="s">
        <v>1902</v>
      </c>
      <c r="E731" s="3" t="s">
        <v>1325</v>
      </c>
      <c r="K731" s="10"/>
      <c r="P731" s="9">
        <v>4000</v>
      </c>
      <c r="Q731" s="9">
        <v>5000</v>
      </c>
    </row>
    <row r="732" spans="1:17" ht="12.75">
      <c r="A732" s="3" t="s">
        <v>342</v>
      </c>
      <c r="B732" s="11" t="s">
        <v>343</v>
      </c>
      <c r="C732" s="36">
        <v>530001</v>
      </c>
      <c r="E732" s="3" t="s">
        <v>344</v>
      </c>
      <c r="F732" s="19">
        <v>6020</v>
      </c>
      <c r="G732" s="19">
        <v>12618.12</v>
      </c>
      <c r="H732" s="19">
        <v>43689.89</v>
      </c>
      <c r="I732" s="8">
        <v>23451.52</v>
      </c>
      <c r="J732" s="9">
        <v>8296.78</v>
      </c>
      <c r="K732" s="10">
        <v>7399.11</v>
      </c>
      <c r="L732" s="9">
        <v>27169.21</v>
      </c>
      <c r="M732" s="9">
        <v>21576.35</v>
      </c>
      <c r="N732" s="9">
        <v>21166.92</v>
      </c>
      <c r="O732" s="9">
        <v>12000</v>
      </c>
      <c r="P732" s="9">
        <v>12000</v>
      </c>
      <c r="Q732" s="9">
        <v>12000</v>
      </c>
    </row>
    <row r="733" spans="1:17" ht="12.75">
      <c r="A733" s="3" t="s">
        <v>348</v>
      </c>
      <c r="B733" s="11" t="s">
        <v>349</v>
      </c>
      <c r="C733" s="36">
        <v>548900</v>
      </c>
      <c r="E733" s="3" t="s">
        <v>350</v>
      </c>
      <c r="F733" s="19">
        <v>5956</v>
      </c>
      <c r="G733" s="19">
        <v>5511.39</v>
      </c>
      <c r="H733" s="19">
        <v>6502.75</v>
      </c>
      <c r="I733" s="8">
        <v>8627.35</v>
      </c>
      <c r="J733" s="9">
        <v>9535.57</v>
      </c>
      <c r="K733" s="10">
        <v>9418.1</v>
      </c>
      <c r="L733" s="9">
        <v>8213.03</v>
      </c>
      <c r="M733" s="9">
        <v>9786.89</v>
      </c>
      <c r="N733" s="9">
        <v>16686.32</v>
      </c>
      <c r="O733" s="9">
        <v>20000</v>
      </c>
      <c r="P733" s="9">
        <v>20000</v>
      </c>
      <c r="Q733" s="9">
        <v>22000</v>
      </c>
    </row>
    <row r="734" spans="2:17" ht="12.75">
      <c r="B734" s="11" t="s">
        <v>354</v>
      </c>
      <c r="C734" s="36">
        <v>558600</v>
      </c>
      <c r="E734" s="3" t="s">
        <v>1311</v>
      </c>
      <c r="F734" s="19">
        <v>9161</v>
      </c>
      <c r="G734" s="19">
        <v>-1489.92</v>
      </c>
      <c r="H734" s="19">
        <v>18797.63</v>
      </c>
      <c r="I734" s="8">
        <v>15266.21</v>
      </c>
      <c r="J734" s="9">
        <v>9926.22</v>
      </c>
      <c r="K734" s="10">
        <v>14116.96</v>
      </c>
      <c r="L734" s="9">
        <v>37317.26</v>
      </c>
      <c r="M734" s="9">
        <v>10473.11</v>
      </c>
      <c r="N734" s="9">
        <v>25991.45</v>
      </c>
      <c r="O734" s="9">
        <v>15000</v>
      </c>
      <c r="P734" s="9">
        <v>15000</v>
      </c>
      <c r="Q734" s="9">
        <v>15000</v>
      </c>
    </row>
    <row r="735" spans="1:17" ht="12.75">
      <c r="A735" s="3" t="s">
        <v>360</v>
      </c>
      <c r="B735" s="11" t="s">
        <v>361</v>
      </c>
      <c r="C735" s="36">
        <v>573000</v>
      </c>
      <c r="E735" s="3" t="s">
        <v>362</v>
      </c>
      <c r="F735" s="19">
        <v>1500</v>
      </c>
      <c r="G735" s="19">
        <v>2500</v>
      </c>
      <c r="H735" s="19">
        <v>2500</v>
      </c>
      <c r="I735" s="8">
        <v>2500</v>
      </c>
      <c r="J735" s="9">
        <v>2500</v>
      </c>
      <c r="K735" s="10">
        <v>2500</v>
      </c>
      <c r="L735" s="9">
        <v>2500</v>
      </c>
      <c r="M735" s="9">
        <v>2500</v>
      </c>
      <c r="N735" s="9">
        <v>2500</v>
      </c>
      <c r="O735" s="9">
        <v>2500</v>
      </c>
      <c r="P735" s="9">
        <v>2500</v>
      </c>
      <c r="Q735" s="9">
        <v>2500</v>
      </c>
    </row>
    <row r="736" spans="2:17" ht="12.75">
      <c r="B736" s="11" t="s">
        <v>1331</v>
      </c>
      <c r="E736" s="3" t="s">
        <v>1946</v>
      </c>
      <c r="K736" s="10"/>
      <c r="O736" s="9">
        <v>800</v>
      </c>
      <c r="P736" s="9">
        <v>600</v>
      </c>
      <c r="Q736" s="9">
        <v>800</v>
      </c>
    </row>
    <row r="737" spans="1:18" ht="12.75" hidden="1">
      <c r="A737" s="3" t="s">
        <v>355</v>
      </c>
      <c r="B737" s="11" t="s">
        <v>356</v>
      </c>
      <c r="E737" s="3" t="s">
        <v>357</v>
      </c>
      <c r="F737" s="19">
        <v>22376</v>
      </c>
      <c r="G737" s="19">
        <v>10588.07</v>
      </c>
      <c r="H737" s="19">
        <v>16319.56</v>
      </c>
      <c r="I737" s="8">
        <v>9068.28</v>
      </c>
      <c r="J737" s="9">
        <v>0</v>
      </c>
      <c r="K737" s="10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v>0</v>
      </c>
      <c r="R737" s="9">
        <v>0</v>
      </c>
    </row>
    <row r="738" spans="1:18" ht="12.75" hidden="1">
      <c r="A738" s="3" t="s">
        <v>358</v>
      </c>
      <c r="B738" s="11" t="s">
        <v>359</v>
      </c>
      <c r="E738" s="3" t="s">
        <v>258</v>
      </c>
      <c r="F738" s="19">
        <v>5064</v>
      </c>
      <c r="G738" s="19">
        <v>869.5</v>
      </c>
      <c r="H738" s="19">
        <v>6024</v>
      </c>
      <c r="I738" s="8">
        <v>1770.81</v>
      </c>
      <c r="J738" s="9">
        <v>0</v>
      </c>
      <c r="K738" s="10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9">
        <v>0</v>
      </c>
    </row>
    <row r="739" spans="2:15" ht="12.75" hidden="1">
      <c r="B739" s="11">
        <v>5791.1</v>
      </c>
      <c r="E739" s="3" t="s">
        <v>2379</v>
      </c>
      <c r="F739" s="19">
        <v>0</v>
      </c>
      <c r="G739" s="19">
        <v>5968.99</v>
      </c>
      <c r="H739" s="19">
        <v>0</v>
      </c>
      <c r="I739" s="8">
        <v>0</v>
      </c>
      <c r="J739" s="9">
        <v>0</v>
      </c>
      <c r="K739" s="10">
        <v>0</v>
      </c>
      <c r="L739" s="9">
        <v>0</v>
      </c>
      <c r="M739" s="9">
        <v>0</v>
      </c>
      <c r="N739" s="9">
        <v>0</v>
      </c>
      <c r="O739" s="9">
        <v>0</v>
      </c>
    </row>
    <row r="740" spans="5:18" ht="12.75">
      <c r="E740" s="20" t="s">
        <v>2274</v>
      </c>
      <c r="F740" s="25">
        <f aca="true" t="shared" si="156" ref="F740:K740">SUM(F739)</f>
        <v>0</v>
      </c>
      <c r="G740" s="25">
        <f t="shared" si="156"/>
        <v>5968.99</v>
      </c>
      <c r="H740" s="25">
        <f t="shared" si="156"/>
        <v>0</v>
      </c>
      <c r="I740" s="23">
        <f t="shared" si="156"/>
        <v>0</v>
      </c>
      <c r="J740" s="23">
        <f t="shared" si="156"/>
        <v>0</v>
      </c>
      <c r="K740" s="23">
        <f t="shared" si="156"/>
        <v>0</v>
      </c>
      <c r="L740" s="7">
        <f>SUM(L729:L739)</f>
        <v>113769.37</v>
      </c>
      <c r="M740" s="7">
        <f aca="true" t="shared" si="157" ref="M740:R740">SUM(M729:M739)</f>
        <v>88490.12</v>
      </c>
      <c r="N740" s="7">
        <f t="shared" si="157"/>
        <v>125170.06000000001</v>
      </c>
      <c r="O740" s="7">
        <f t="shared" si="157"/>
        <v>83300</v>
      </c>
      <c r="P740" s="7">
        <f t="shared" si="157"/>
        <v>87100</v>
      </c>
      <c r="Q740" s="7">
        <f t="shared" si="157"/>
        <v>93300</v>
      </c>
      <c r="R740" s="7">
        <f t="shared" si="157"/>
        <v>0</v>
      </c>
    </row>
    <row r="741" spans="3:4" ht="12.75">
      <c r="C741" s="196">
        <v>12223</v>
      </c>
      <c r="D741" s="196"/>
    </row>
    <row r="742" spans="2:17" ht="12.75">
      <c r="B742" s="11" t="s">
        <v>364</v>
      </c>
      <c r="C742" s="36">
        <v>587100</v>
      </c>
      <c r="E742" s="3" t="s">
        <v>2276</v>
      </c>
      <c r="F742" s="19">
        <v>2842</v>
      </c>
      <c r="G742" s="19">
        <v>2689</v>
      </c>
      <c r="H742" s="19">
        <v>10270.87</v>
      </c>
      <c r="I742" s="8">
        <v>3803.21</v>
      </c>
      <c r="J742" s="9">
        <v>2722.47</v>
      </c>
      <c r="K742" s="10">
        <v>950.88</v>
      </c>
      <c r="L742" s="9">
        <v>932.83</v>
      </c>
      <c r="M742" s="9">
        <v>7219.21</v>
      </c>
      <c r="N742" s="9">
        <v>2013.2</v>
      </c>
      <c r="O742" s="9">
        <v>500</v>
      </c>
      <c r="P742" s="9">
        <v>600</v>
      </c>
      <c r="Q742" s="9">
        <v>1000</v>
      </c>
    </row>
    <row r="743" spans="1:17" ht="12.75">
      <c r="A743" s="3" t="s">
        <v>363</v>
      </c>
      <c r="B743" s="36">
        <v>5796</v>
      </c>
      <c r="C743" s="36">
        <v>587200</v>
      </c>
      <c r="E743" s="3" t="s">
        <v>357</v>
      </c>
      <c r="F743" s="19">
        <v>2842</v>
      </c>
      <c r="G743" s="19">
        <v>2689</v>
      </c>
      <c r="H743" s="19">
        <v>10270.87</v>
      </c>
      <c r="J743" s="9">
        <v>5855.52</v>
      </c>
      <c r="K743" s="10">
        <v>5000.48</v>
      </c>
      <c r="L743" s="9">
        <v>4049.67</v>
      </c>
      <c r="M743" s="9">
        <v>9472.63</v>
      </c>
      <c r="N743" s="9">
        <v>10509.54</v>
      </c>
      <c r="O743" s="9">
        <v>6500</v>
      </c>
      <c r="P743" s="9">
        <v>6500</v>
      </c>
      <c r="Q743" s="9">
        <v>10500</v>
      </c>
    </row>
    <row r="744" spans="2:18" ht="12.75" hidden="1">
      <c r="B744" s="36">
        <v>5798</v>
      </c>
      <c r="E744" s="3" t="s">
        <v>258</v>
      </c>
      <c r="J744" s="9">
        <v>2250</v>
      </c>
      <c r="K744" s="10"/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</row>
    <row r="745" spans="2:18" ht="12.75" hidden="1">
      <c r="B745" s="11" t="s">
        <v>365</v>
      </c>
      <c r="E745" s="3" t="s">
        <v>255</v>
      </c>
      <c r="F745" s="19">
        <v>0</v>
      </c>
      <c r="G745" s="19">
        <v>454.03</v>
      </c>
      <c r="H745" s="19">
        <v>0</v>
      </c>
      <c r="I745" s="8">
        <v>0</v>
      </c>
      <c r="J745" s="9">
        <v>10861.14</v>
      </c>
      <c r="K745" s="10">
        <v>3398.7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v>0</v>
      </c>
      <c r="R745" s="9">
        <v>0</v>
      </c>
    </row>
    <row r="746" spans="2:18" ht="12.75" hidden="1">
      <c r="B746" s="11">
        <v>5801</v>
      </c>
      <c r="E746" s="3" t="s">
        <v>366</v>
      </c>
      <c r="F746" s="19">
        <v>0</v>
      </c>
      <c r="G746" s="19">
        <v>0</v>
      </c>
      <c r="H746" s="19">
        <v>8944.66</v>
      </c>
      <c r="I746" s="8">
        <v>0</v>
      </c>
      <c r="J746" s="9">
        <v>0</v>
      </c>
      <c r="K746" s="10">
        <v>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v>0</v>
      </c>
      <c r="R746" s="9">
        <v>0</v>
      </c>
    </row>
    <row r="747" spans="3:17" ht="12.75">
      <c r="C747" s="36">
        <v>587200</v>
      </c>
      <c r="E747" s="3" t="s">
        <v>2507</v>
      </c>
      <c r="K747" s="10"/>
      <c r="Q747" s="9">
        <v>23000</v>
      </c>
    </row>
    <row r="748" spans="2:14" ht="12.75">
      <c r="B748" s="11">
        <v>5800</v>
      </c>
      <c r="E748" s="3" t="s">
        <v>255</v>
      </c>
      <c r="K748" s="10"/>
      <c r="M748" s="9">
        <v>2271.96</v>
      </c>
      <c r="N748" s="9">
        <v>41.38</v>
      </c>
    </row>
    <row r="749" spans="5:18" ht="12.75">
      <c r="E749" s="20" t="s">
        <v>2277</v>
      </c>
      <c r="F749" s="21">
        <f aca="true" t="shared" si="158" ref="F749:K749">SUM(F742:F746)</f>
        <v>5684</v>
      </c>
      <c r="G749" s="21">
        <f t="shared" si="158"/>
        <v>5832.03</v>
      </c>
      <c r="H749" s="21">
        <f t="shared" si="158"/>
        <v>29486.4</v>
      </c>
      <c r="I749" s="22">
        <f t="shared" si="158"/>
        <v>3803.21</v>
      </c>
      <c r="J749" s="23">
        <f t="shared" si="158"/>
        <v>21689.129999999997</v>
      </c>
      <c r="K749" s="23">
        <f t="shared" si="158"/>
        <v>9350.06</v>
      </c>
      <c r="L749" s="7">
        <f>SUM(L742:L746)</f>
        <v>4982.5</v>
      </c>
      <c r="M749" s="7">
        <f>SUM(M742:M748)</f>
        <v>18963.8</v>
      </c>
      <c r="N749" s="7">
        <f>SUM(N742:N748)</f>
        <v>12564.12</v>
      </c>
      <c r="O749" s="7">
        <f>SUM(O742:O746)</f>
        <v>7000</v>
      </c>
      <c r="P749" s="7">
        <f>SUM(P742:P746)</f>
        <v>7100</v>
      </c>
      <c r="Q749" s="7">
        <f>SUM(Q742:Q747)</f>
        <v>34500</v>
      </c>
      <c r="R749" s="7">
        <f>SUM(R742:R746)</f>
        <v>0</v>
      </c>
    </row>
    <row r="750" spans="6:8" ht="7.5" customHeight="1">
      <c r="F750" s="37"/>
      <c r="G750" s="37"/>
      <c r="H750" s="37"/>
    </row>
    <row r="751" spans="5:18" ht="12.75">
      <c r="E751" s="2" t="s">
        <v>367</v>
      </c>
      <c r="F751" s="31">
        <f aca="true" t="shared" si="159" ref="F751:K751">SUM(F713:F749)/2</f>
        <v>2460691</v>
      </c>
      <c r="G751" s="31">
        <f t="shared" si="159"/>
        <v>2496413.27</v>
      </c>
      <c r="H751" s="31">
        <f t="shared" si="159"/>
        <v>2767376.9200000004</v>
      </c>
      <c r="I751" s="28">
        <f t="shared" si="159"/>
        <v>2752893.38</v>
      </c>
      <c r="J751" s="28">
        <f t="shared" si="159"/>
        <v>2905049.3649999993</v>
      </c>
      <c r="K751" s="28">
        <f t="shared" si="159"/>
        <v>3113628.1250000005</v>
      </c>
      <c r="L751" s="32">
        <f>SUM(L713:L749)/2</f>
        <v>3174272.6200000006</v>
      </c>
      <c r="M751" s="32">
        <f aca="true" t="shared" si="160" ref="M751:R751">SUM(M713:M749)/2</f>
        <v>3669549.7800000003</v>
      </c>
      <c r="N751" s="32">
        <f t="shared" si="160"/>
        <v>3863801.07</v>
      </c>
      <c r="O751" s="32">
        <f t="shared" si="160"/>
        <v>4008766</v>
      </c>
      <c r="P751" s="32">
        <f t="shared" si="160"/>
        <v>3980513</v>
      </c>
      <c r="Q751" s="32">
        <f t="shared" si="160"/>
        <v>4112739</v>
      </c>
      <c r="R751" s="32">
        <f t="shared" si="160"/>
        <v>0</v>
      </c>
    </row>
    <row r="752" ht="12.75">
      <c r="E752" s="38"/>
    </row>
    <row r="753" ht="12.75">
      <c r="E753" s="38"/>
    </row>
    <row r="754" spans="1:6" ht="12.75">
      <c r="A754" s="3" t="s">
        <v>2180</v>
      </c>
      <c r="E754" s="163" t="s">
        <v>368</v>
      </c>
      <c r="F754" s="19">
        <f>F751-2527193</f>
        <v>-66502</v>
      </c>
    </row>
    <row r="755" spans="1:18" ht="12.75">
      <c r="A755" s="3" t="s">
        <v>369</v>
      </c>
      <c r="B755" s="11" t="s">
        <v>370</v>
      </c>
      <c r="E755" s="3" t="s">
        <v>2938</v>
      </c>
      <c r="F755" s="19">
        <v>274647</v>
      </c>
      <c r="G755" s="19">
        <v>283125.26</v>
      </c>
      <c r="H755" s="19">
        <v>291693.9</v>
      </c>
      <c r="I755" s="8">
        <v>302731.22</v>
      </c>
      <c r="J755" s="9">
        <v>321226.17</v>
      </c>
      <c r="K755" s="10">
        <v>354740.16</v>
      </c>
      <c r="L755" s="9">
        <v>335303.85</v>
      </c>
      <c r="M755" s="9">
        <v>0</v>
      </c>
      <c r="N755" s="9">
        <v>0</v>
      </c>
      <c r="O755" s="9">
        <v>0</v>
      </c>
      <c r="P755" s="9">
        <v>0</v>
      </c>
      <c r="Q755" s="9">
        <v>0</v>
      </c>
      <c r="R755" s="9">
        <v>0</v>
      </c>
    </row>
    <row r="756" spans="1:18" ht="12.75">
      <c r="A756" s="3" t="s">
        <v>371</v>
      </c>
      <c r="B756" s="11" t="s">
        <v>372</v>
      </c>
      <c r="E756" s="3" t="s">
        <v>2186</v>
      </c>
      <c r="F756" s="19">
        <v>29190</v>
      </c>
      <c r="G756" s="19">
        <v>49013.37</v>
      </c>
      <c r="H756" s="19">
        <v>57027.75</v>
      </c>
      <c r="I756" s="8">
        <v>61985.44</v>
      </c>
      <c r="J756" s="9">
        <v>40633.15</v>
      </c>
      <c r="K756" s="10">
        <v>53322.34</v>
      </c>
      <c r="L756" s="9">
        <v>49350.65</v>
      </c>
      <c r="M756" s="9">
        <v>0</v>
      </c>
      <c r="N756" s="9">
        <v>0</v>
      </c>
      <c r="O756" s="9">
        <v>0</v>
      </c>
      <c r="P756" s="9">
        <v>0</v>
      </c>
      <c r="Q756" s="9">
        <v>0</v>
      </c>
      <c r="R756" s="9">
        <v>0</v>
      </c>
    </row>
    <row r="757" spans="1:18" ht="12.75">
      <c r="A757" s="3" t="s">
        <v>373</v>
      </c>
      <c r="B757" s="11" t="s">
        <v>374</v>
      </c>
      <c r="E757" s="3" t="s">
        <v>375</v>
      </c>
      <c r="F757" s="19">
        <v>14441</v>
      </c>
      <c r="G757" s="19">
        <v>14983.86</v>
      </c>
      <c r="H757" s="19">
        <v>15399.32</v>
      </c>
      <c r="I757" s="8">
        <v>15993.78</v>
      </c>
      <c r="J757" s="9">
        <v>17011.36</v>
      </c>
      <c r="K757" s="10">
        <v>18737.26</v>
      </c>
      <c r="L757" s="9">
        <v>17434.28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9">
        <v>0</v>
      </c>
    </row>
    <row r="758" spans="1:18" ht="12.75">
      <c r="A758" s="3" t="s">
        <v>376</v>
      </c>
      <c r="B758" s="11" t="s">
        <v>377</v>
      </c>
      <c r="E758" s="3" t="s">
        <v>3050</v>
      </c>
      <c r="F758" s="19">
        <v>4429</v>
      </c>
      <c r="G758" s="19">
        <v>5030.35</v>
      </c>
      <c r="H758" s="19">
        <v>5021.48</v>
      </c>
      <c r="I758" s="8">
        <v>4456.53</v>
      </c>
      <c r="J758" s="9">
        <v>3281.62</v>
      </c>
      <c r="K758" s="10">
        <v>3790.6</v>
      </c>
      <c r="L758" s="9">
        <v>3920.2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9">
        <v>0</v>
      </c>
    </row>
    <row r="759" spans="1:18" ht="12.75">
      <c r="A759" s="3" t="s">
        <v>378</v>
      </c>
      <c r="B759" s="11" t="s">
        <v>379</v>
      </c>
      <c r="E759" s="3" t="s">
        <v>2219</v>
      </c>
      <c r="F759" s="19">
        <v>72</v>
      </c>
      <c r="G759" s="19">
        <v>72</v>
      </c>
      <c r="H759" s="19">
        <v>72</v>
      </c>
      <c r="I759" s="8">
        <v>0</v>
      </c>
      <c r="J759" s="9">
        <v>0</v>
      </c>
      <c r="K759" s="10">
        <v>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v>0</v>
      </c>
      <c r="R759" s="9">
        <v>0</v>
      </c>
    </row>
    <row r="760" spans="1:18" ht="12.75">
      <c r="A760" s="3" t="s">
        <v>380</v>
      </c>
      <c r="B760" s="11" t="s">
        <v>381</v>
      </c>
      <c r="E760" s="3" t="s">
        <v>2222</v>
      </c>
      <c r="F760" s="19">
        <v>34705</v>
      </c>
      <c r="G760" s="19">
        <v>35850</v>
      </c>
      <c r="H760" s="19">
        <v>47750</v>
      </c>
      <c r="I760" s="8">
        <v>57985</v>
      </c>
      <c r="J760" s="9">
        <v>69664</v>
      </c>
      <c r="K760" s="10">
        <v>74746</v>
      </c>
      <c r="L760" s="9">
        <v>93727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</row>
    <row r="761" spans="1:18" ht="12.75">
      <c r="A761" s="3" t="s">
        <v>382</v>
      </c>
      <c r="B761" s="11" t="s">
        <v>383</v>
      </c>
      <c r="E761" s="3" t="s">
        <v>384</v>
      </c>
      <c r="F761" s="19">
        <v>3915</v>
      </c>
      <c r="G761" s="19">
        <v>5139</v>
      </c>
      <c r="H761" s="19">
        <v>4533</v>
      </c>
      <c r="I761" s="8">
        <v>4880</v>
      </c>
      <c r="J761" s="9">
        <v>5630</v>
      </c>
      <c r="K761" s="10">
        <v>5090</v>
      </c>
      <c r="L761" s="9">
        <v>5090</v>
      </c>
      <c r="M761" s="9">
        <v>0</v>
      </c>
      <c r="N761" s="9">
        <v>0</v>
      </c>
      <c r="O761" s="9">
        <v>0</v>
      </c>
      <c r="P761" s="9">
        <v>0</v>
      </c>
      <c r="Q761" s="9">
        <v>0</v>
      </c>
      <c r="R761" s="9">
        <v>0</v>
      </c>
    </row>
    <row r="762" spans="1:18" ht="12.75">
      <c r="A762" s="3" t="s">
        <v>385</v>
      </c>
      <c r="B762" s="11" t="s">
        <v>386</v>
      </c>
      <c r="E762" s="3" t="s">
        <v>387</v>
      </c>
      <c r="F762" s="19">
        <v>6723</v>
      </c>
      <c r="G762" s="19">
        <v>11144.88</v>
      </c>
      <c r="H762" s="19">
        <v>11346.78</v>
      </c>
      <c r="I762" s="8">
        <v>8560.56</v>
      </c>
      <c r="J762" s="9">
        <v>11276.01</v>
      </c>
      <c r="K762" s="10">
        <v>7975.05</v>
      </c>
      <c r="L762" s="9">
        <v>8560.56</v>
      </c>
      <c r="M762" s="9">
        <v>0</v>
      </c>
      <c r="N762" s="9">
        <v>0</v>
      </c>
      <c r="O762" s="9">
        <v>0</v>
      </c>
      <c r="P762" s="9">
        <v>0</v>
      </c>
      <c r="Q762" s="9">
        <v>0</v>
      </c>
      <c r="R762" s="9">
        <v>0</v>
      </c>
    </row>
    <row r="763" spans="3:11" ht="12.75">
      <c r="C763" s="196">
        <v>12301</v>
      </c>
      <c r="D763" s="196"/>
      <c r="K763" s="10"/>
    </row>
    <row r="764" spans="2:17" ht="12.75">
      <c r="B764" s="11">
        <v>5828.5</v>
      </c>
      <c r="C764" s="36">
        <v>513005</v>
      </c>
      <c r="E764" s="3" t="s">
        <v>1332</v>
      </c>
      <c r="K764" s="10"/>
      <c r="O764" s="9">
        <v>1600</v>
      </c>
      <c r="P764" s="9">
        <v>1600</v>
      </c>
      <c r="Q764" s="9">
        <v>3000</v>
      </c>
    </row>
    <row r="765" spans="1:17" ht="12.75">
      <c r="A765" s="3" t="s">
        <v>388</v>
      </c>
      <c r="B765" s="11" t="s">
        <v>389</v>
      </c>
      <c r="C765" s="36">
        <v>519600</v>
      </c>
      <c r="E765" s="3" t="s">
        <v>228</v>
      </c>
      <c r="F765" s="19">
        <v>8169</v>
      </c>
      <c r="G765" s="19">
        <v>12383.54</v>
      </c>
      <c r="H765" s="19">
        <v>12391.2</v>
      </c>
      <c r="I765" s="8">
        <v>16782.64</v>
      </c>
      <c r="J765" s="9">
        <v>10495.09</v>
      </c>
      <c r="K765" s="10">
        <v>16976.65</v>
      </c>
      <c r="L765" s="9">
        <v>18068.87</v>
      </c>
      <c r="M765" s="9">
        <v>101022.9</v>
      </c>
      <c r="N765" s="9">
        <v>108213.92</v>
      </c>
      <c r="O765" s="9">
        <v>114775</v>
      </c>
      <c r="P765" s="9">
        <v>114775</v>
      </c>
      <c r="Q765" s="9">
        <v>118425</v>
      </c>
    </row>
    <row r="766" spans="5:18" ht="12.75">
      <c r="E766" s="20" t="s">
        <v>2187</v>
      </c>
      <c r="F766" s="21">
        <f aca="true" t="shared" si="161" ref="F766:L766">SUM(F755:F764)</f>
        <v>368122</v>
      </c>
      <c r="G766" s="21">
        <f t="shared" si="161"/>
        <v>404358.72</v>
      </c>
      <c r="H766" s="21">
        <f t="shared" si="161"/>
        <v>432844.23000000004</v>
      </c>
      <c r="I766" s="22">
        <f t="shared" si="161"/>
        <v>456592.53</v>
      </c>
      <c r="J766" s="23">
        <f t="shared" si="161"/>
        <v>468722.31</v>
      </c>
      <c r="K766" s="23">
        <f t="shared" si="161"/>
        <v>518401.41</v>
      </c>
      <c r="L766" s="7">
        <f t="shared" si="161"/>
        <v>513386.54000000004</v>
      </c>
      <c r="M766" s="7">
        <v>101023</v>
      </c>
      <c r="N766" s="7">
        <v>108214</v>
      </c>
      <c r="O766" s="7">
        <f>SUM(O755:O765)</f>
        <v>116375</v>
      </c>
      <c r="P766" s="7">
        <f>SUM(P755:P765)</f>
        <v>116375</v>
      </c>
      <c r="Q766" s="7">
        <f>SUM(Q755:Q765)</f>
        <v>121425</v>
      </c>
      <c r="R766" s="7">
        <f>SUM(R755:R765)</f>
        <v>0</v>
      </c>
    </row>
    <row r="767" spans="3:4" ht="12.75">
      <c r="C767" s="196">
        <v>12302</v>
      </c>
      <c r="D767" s="196"/>
    </row>
    <row r="768" spans="1:17" ht="12.75">
      <c r="A768" s="3" t="s">
        <v>401</v>
      </c>
      <c r="B768" s="11" t="s">
        <v>402</v>
      </c>
      <c r="C768" s="36">
        <v>524010</v>
      </c>
      <c r="E768" s="3" t="s">
        <v>404</v>
      </c>
      <c r="F768" s="19">
        <v>0</v>
      </c>
      <c r="G768" s="19">
        <v>4839.01</v>
      </c>
      <c r="H768" s="19">
        <v>675.02</v>
      </c>
      <c r="I768" s="8">
        <v>0</v>
      </c>
      <c r="J768" s="9">
        <v>1571.5</v>
      </c>
      <c r="K768" s="10">
        <v>1420.87</v>
      </c>
      <c r="L768" s="9">
        <v>2670.41</v>
      </c>
      <c r="M768" s="9">
        <v>1350</v>
      </c>
      <c r="N768" s="9">
        <v>1989.18</v>
      </c>
      <c r="O768" s="9">
        <v>4000</v>
      </c>
      <c r="P768" s="9">
        <v>1100</v>
      </c>
      <c r="Q768" s="9">
        <v>2200</v>
      </c>
    </row>
    <row r="769" spans="5:17" ht="12.75">
      <c r="E769" s="3" t="s">
        <v>2508</v>
      </c>
      <c r="K769" s="10"/>
      <c r="P769" s="9">
        <v>1800</v>
      </c>
      <c r="Q769" s="9">
        <v>1800</v>
      </c>
    </row>
    <row r="770" spans="1:17" ht="12.75">
      <c r="A770" s="3" t="s">
        <v>395</v>
      </c>
      <c r="B770" s="11" t="s">
        <v>396</v>
      </c>
      <c r="C770" s="36">
        <v>524400</v>
      </c>
      <c r="E770" s="3" t="s">
        <v>397</v>
      </c>
      <c r="F770" s="19">
        <v>10685</v>
      </c>
      <c r="G770" s="19">
        <v>6302.65</v>
      </c>
      <c r="H770" s="19">
        <v>8280.97</v>
      </c>
      <c r="I770" s="8">
        <v>6769.15</v>
      </c>
      <c r="J770" s="9">
        <v>2110.19</v>
      </c>
      <c r="K770" s="10">
        <v>5525.29</v>
      </c>
      <c r="L770" s="9">
        <v>3281.57</v>
      </c>
      <c r="M770" s="9">
        <v>9767.74</v>
      </c>
      <c r="N770" s="9">
        <v>12385.89</v>
      </c>
      <c r="O770" s="9">
        <v>6000</v>
      </c>
      <c r="P770" s="9">
        <v>8000</v>
      </c>
      <c r="Q770" s="9">
        <v>6000</v>
      </c>
    </row>
    <row r="771" spans="1:17" ht="12.75">
      <c r="A771" s="3" t="s">
        <v>393</v>
      </c>
      <c r="B771" s="11" t="s">
        <v>394</v>
      </c>
      <c r="C771" s="36">
        <v>548900</v>
      </c>
      <c r="E771" s="3" t="s">
        <v>1119</v>
      </c>
      <c r="F771" s="19">
        <v>1320</v>
      </c>
      <c r="G771" s="19">
        <v>1320</v>
      </c>
      <c r="H771" s="19">
        <v>1320</v>
      </c>
      <c r="I771" s="8">
        <v>1210</v>
      </c>
      <c r="J771" s="9">
        <v>1320</v>
      </c>
      <c r="K771" s="10">
        <v>1320</v>
      </c>
      <c r="L771" s="9">
        <f>2400+240</f>
        <v>2640</v>
      </c>
      <c r="M771" s="9">
        <v>2610.34</v>
      </c>
      <c r="N771" s="9">
        <v>4756.46</v>
      </c>
      <c r="O771" s="9">
        <v>5000</v>
      </c>
      <c r="P771" s="9">
        <v>5000</v>
      </c>
      <c r="Q771" s="9">
        <v>6000</v>
      </c>
    </row>
    <row r="772" spans="1:17" ht="12.75">
      <c r="A772" s="3" t="s">
        <v>398</v>
      </c>
      <c r="B772" s="11" t="s">
        <v>399</v>
      </c>
      <c r="C772" s="36">
        <v>550000</v>
      </c>
      <c r="E772" s="3" t="s">
        <v>400</v>
      </c>
      <c r="F772" s="19">
        <v>9425</v>
      </c>
      <c r="G772" s="19">
        <v>8220.87</v>
      </c>
      <c r="H772" s="19">
        <v>10052.85</v>
      </c>
      <c r="I772" s="8">
        <v>9862.4</v>
      </c>
      <c r="J772" s="9">
        <v>9975.33</v>
      </c>
      <c r="K772" s="10">
        <v>8932.82</v>
      </c>
      <c r="L772" s="9">
        <v>11093.45</v>
      </c>
      <c r="M772" s="9">
        <v>15018.66</v>
      </c>
      <c r="N772" s="9">
        <v>16390.71</v>
      </c>
      <c r="O772" s="9">
        <v>10000</v>
      </c>
      <c r="P772" s="9">
        <v>9100</v>
      </c>
      <c r="Q772" s="9">
        <v>12180</v>
      </c>
    </row>
    <row r="773" spans="3:17" ht="12.75">
      <c r="C773" s="36">
        <v>550000</v>
      </c>
      <c r="E773" s="3" t="s">
        <v>2509</v>
      </c>
      <c r="K773" s="10"/>
      <c r="Q773" s="9">
        <v>1500</v>
      </c>
    </row>
    <row r="774" spans="1:18" ht="12.75">
      <c r="A774" s="3" t="s">
        <v>390</v>
      </c>
      <c r="B774" s="11" t="s">
        <v>391</v>
      </c>
      <c r="E774" s="3" t="s">
        <v>392</v>
      </c>
      <c r="F774" s="19">
        <v>12973</v>
      </c>
      <c r="G774" s="19">
        <v>11620.05</v>
      </c>
      <c r="H774" s="19">
        <v>7544.37</v>
      </c>
      <c r="I774" s="8">
        <v>0</v>
      </c>
      <c r="J774" s="9">
        <v>0</v>
      </c>
      <c r="K774" s="10">
        <v>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v>0</v>
      </c>
      <c r="R774" s="9">
        <v>0</v>
      </c>
    </row>
    <row r="775" spans="5:18" ht="12.75">
      <c r="E775" s="20" t="s">
        <v>2274</v>
      </c>
      <c r="F775" s="21">
        <f aca="true" t="shared" si="162" ref="F775:K775">SUM(F771:F774)</f>
        <v>23718</v>
      </c>
      <c r="G775" s="21">
        <f t="shared" si="162"/>
        <v>21160.92</v>
      </c>
      <c r="H775" s="21">
        <f t="shared" si="162"/>
        <v>18917.22</v>
      </c>
      <c r="I775" s="22">
        <f t="shared" si="162"/>
        <v>11072.4</v>
      </c>
      <c r="J775" s="23">
        <f t="shared" si="162"/>
        <v>11295.33</v>
      </c>
      <c r="K775" s="23">
        <f t="shared" si="162"/>
        <v>10252.82</v>
      </c>
      <c r="L775" s="7">
        <f>SUM(L768:L774)</f>
        <v>19685.43</v>
      </c>
      <c r="M775" s="7">
        <f aca="true" t="shared" si="163" ref="M775:R775">SUM(M768:M774)</f>
        <v>28746.739999999998</v>
      </c>
      <c r="N775" s="7">
        <f t="shared" si="163"/>
        <v>35522.24</v>
      </c>
      <c r="O775" s="7">
        <f t="shared" si="163"/>
        <v>25000</v>
      </c>
      <c r="P775" s="7">
        <f t="shared" si="163"/>
        <v>25000</v>
      </c>
      <c r="Q775" s="7">
        <f t="shared" si="163"/>
        <v>29680</v>
      </c>
      <c r="R775" s="7">
        <f t="shared" si="163"/>
        <v>0</v>
      </c>
    </row>
    <row r="776" spans="5:18" ht="12.75">
      <c r="E776" s="20"/>
      <c r="F776" s="21"/>
      <c r="G776" s="21"/>
      <c r="H776" s="21"/>
      <c r="I776" s="22"/>
      <c r="J776" s="23"/>
      <c r="K776" s="23"/>
      <c r="L776" s="7"/>
      <c r="M776" s="7"/>
      <c r="N776" s="7"/>
      <c r="O776" s="7"/>
      <c r="P776" s="7"/>
      <c r="Q776" s="7"/>
      <c r="R776" s="7"/>
    </row>
    <row r="777" spans="3:18" ht="12.75">
      <c r="C777" s="196">
        <v>12303</v>
      </c>
      <c r="D777" s="196"/>
      <c r="E777" s="20"/>
      <c r="F777" s="21"/>
      <c r="G777" s="21"/>
      <c r="H777" s="21"/>
      <c r="I777" s="22"/>
      <c r="J777" s="23"/>
      <c r="K777" s="23"/>
      <c r="L777" s="7"/>
      <c r="M777" s="7"/>
      <c r="N777" s="7"/>
      <c r="O777" s="7"/>
      <c r="P777" s="7"/>
      <c r="Q777" s="7"/>
      <c r="R777" s="7"/>
    </row>
    <row r="778" spans="3:18" ht="12.75">
      <c r="C778" s="36" t="s">
        <v>2107</v>
      </c>
      <c r="E778" s="3" t="s">
        <v>2510</v>
      </c>
      <c r="F778" s="21"/>
      <c r="G778" s="21"/>
      <c r="H778" s="21"/>
      <c r="I778" s="22"/>
      <c r="J778" s="23"/>
      <c r="K778" s="23"/>
      <c r="L778" s="7"/>
      <c r="M778" s="7"/>
      <c r="N778" s="7"/>
      <c r="O778" s="7"/>
      <c r="P778" s="7"/>
      <c r="Q778" s="9">
        <v>2000</v>
      </c>
      <c r="R778" s="7"/>
    </row>
    <row r="779" spans="5:17" ht="15.75" customHeight="1">
      <c r="E779" s="20" t="s">
        <v>2895</v>
      </c>
      <c r="J779" s="23"/>
      <c r="Q779" s="46">
        <f>SUM(Q778)</f>
        <v>2000</v>
      </c>
    </row>
    <row r="781" spans="5:18" ht="12.75">
      <c r="E781" s="38" t="s">
        <v>405</v>
      </c>
      <c r="F781" s="31">
        <f aca="true" t="shared" si="164" ref="F781:K781">SUM(F755:F779)/2</f>
        <v>401267</v>
      </c>
      <c r="G781" s="31">
        <f t="shared" si="164"/>
        <v>437282.24000000005</v>
      </c>
      <c r="H781" s="31">
        <f t="shared" si="164"/>
        <v>462435.04500000004</v>
      </c>
      <c r="I781" s="28">
        <f t="shared" si="164"/>
        <v>479440.82500000007</v>
      </c>
      <c r="J781" s="28">
        <f t="shared" si="164"/>
        <v>487106.0299999999</v>
      </c>
      <c r="K781" s="28">
        <f t="shared" si="164"/>
        <v>540615.6350000001</v>
      </c>
      <c r="L781" s="32">
        <f aca="true" t="shared" si="165" ref="L781:Q781">SUM(L779+L775+L766)</f>
        <v>533071.9700000001</v>
      </c>
      <c r="M781" s="32">
        <f t="shared" si="165"/>
        <v>129769.73999999999</v>
      </c>
      <c r="N781" s="32">
        <f t="shared" si="165"/>
        <v>143736.24</v>
      </c>
      <c r="O781" s="32">
        <f t="shared" si="165"/>
        <v>141375</v>
      </c>
      <c r="P781" s="32">
        <f t="shared" si="165"/>
        <v>141375</v>
      </c>
      <c r="Q781" s="32">
        <f t="shared" si="165"/>
        <v>153105</v>
      </c>
      <c r="R781" s="32">
        <f>SUM(R755:R779)/2</f>
        <v>0</v>
      </c>
    </row>
    <row r="782" spans="5:10" ht="12.75">
      <c r="E782" s="38"/>
      <c r="F782" s="37"/>
      <c r="G782" s="37"/>
      <c r="H782" s="37"/>
      <c r="J782" s="10"/>
    </row>
    <row r="783" spans="5:18" ht="12.75">
      <c r="E783" s="55" t="s">
        <v>406</v>
      </c>
      <c r="F783" s="25">
        <f aca="true" t="shared" si="166" ref="F783:K783">SUM(F676:F781)/3</f>
        <v>3027157.1666666665</v>
      </c>
      <c r="G783" s="25">
        <f t="shared" si="166"/>
        <v>3146130.39</v>
      </c>
      <c r="H783" s="25">
        <f t="shared" si="166"/>
        <v>3458390.305</v>
      </c>
      <c r="I783" s="23">
        <f t="shared" si="166"/>
        <v>3461683.6649999996</v>
      </c>
      <c r="J783" s="23">
        <f t="shared" si="166"/>
        <v>3637380.1849999987</v>
      </c>
      <c r="K783" s="23">
        <f t="shared" si="166"/>
        <v>3915283.9250000003</v>
      </c>
      <c r="L783" s="7">
        <f>SUM(L676:L781)/3</f>
        <v>3992573.136666667</v>
      </c>
      <c r="M783" s="7">
        <f aca="true" t="shared" si="167" ref="M783:R783">SUM(M676:M781)/3</f>
        <v>4072356.976666667</v>
      </c>
      <c r="N783" s="7">
        <f t="shared" si="167"/>
        <v>4274237.423333334</v>
      </c>
      <c r="O783" s="7">
        <f t="shared" si="167"/>
        <v>4451921</v>
      </c>
      <c r="P783" s="7">
        <f t="shared" si="167"/>
        <v>4431881</v>
      </c>
      <c r="Q783" s="7">
        <f t="shared" si="167"/>
        <v>4612934</v>
      </c>
      <c r="R783" s="7">
        <f t="shared" si="167"/>
        <v>0</v>
      </c>
    </row>
    <row r="784" ht="12.75">
      <c r="J784" s="23"/>
    </row>
    <row r="785" spans="1:5" ht="12.75">
      <c r="A785" s="3" t="s">
        <v>2180</v>
      </c>
      <c r="C785" s="196">
        <v>12911</v>
      </c>
      <c r="D785" s="196"/>
      <c r="E785" s="163" t="s">
        <v>407</v>
      </c>
    </row>
    <row r="786" spans="1:18" ht="12.75">
      <c r="A786" s="3" t="s">
        <v>409</v>
      </c>
      <c r="B786" s="36">
        <v>5851</v>
      </c>
      <c r="C786" s="36">
        <v>511000</v>
      </c>
      <c r="E786" s="3" t="s">
        <v>2731</v>
      </c>
      <c r="F786" s="19">
        <v>0</v>
      </c>
      <c r="G786" s="19">
        <v>0</v>
      </c>
      <c r="H786" s="19">
        <v>0</v>
      </c>
      <c r="I786" s="8">
        <v>3250</v>
      </c>
      <c r="J786" s="9">
        <v>2250</v>
      </c>
      <c r="K786" s="10">
        <v>2250</v>
      </c>
      <c r="L786" s="9">
        <v>1687.5</v>
      </c>
      <c r="M786" s="9">
        <v>2820.05</v>
      </c>
      <c r="N786" s="9">
        <v>7737.8</v>
      </c>
      <c r="O786" s="9">
        <v>0</v>
      </c>
      <c r="P786" s="9">
        <v>0</v>
      </c>
      <c r="Q786" s="9">
        <v>0</v>
      </c>
      <c r="R786" s="9">
        <v>0</v>
      </c>
    </row>
    <row r="787" spans="2:17" ht="12.75">
      <c r="B787" s="36">
        <v>5850</v>
      </c>
      <c r="C787" s="36">
        <v>511100</v>
      </c>
      <c r="E787" s="3" t="s">
        <v>408</v>
      </c>
      <c r="F787" s="19">
        <v>0</v>
      </c>
      <c r="G787" s="19">
        <v>0</v>
      </c>
      <c r="H787" s="19">
        <v>4687.5</v>
      </c>
      <c r="I787" s="8">
        <v>2250</v>
      </c>
      <c r="J787" s="9">
        <v>6750</v>
      </c>
      <c r="K787" s="10">
        <v>6750.12</v>
      </c>
      <c r="L787" s="9">
        <v>7312.13</v>
      </c>
      <c r="M787" s="9">
        <v>7056.42</v>
      </c>
      <c r="N787" s="9">
        <v>5110</v>
      </c>
      <c r="O787" s="9">
        <v>11000</v>
      </c>
      <c r="P787" s="9">
        <v>11000</v>
      </c>
      <c r="Q787" s="9">
        <v>11000</v>
      </c>
    </row>
    <row r="788" spans="5:18" ht="12.75">
      <c r="E788" s="20" t="s">
        <v>2187</v>
      </c>
      <c r="F788" s="25">
        <f aca="true" t="shared" si="168" ref="F788:L788">SUM(F786:F787)</f>
        <v>0</v>
      </c>
      <c r="G788" s="25">
        <f t="shared" si="168"/>
        <v>0</v>
      </c>
      <c r="H788" s="25">
        <f t="shared" si="168"/>
        <v>4687.5</v>
      </c>
      <c r="I788" s="23">
        <f t="shared" si="168"/>
        <v>5500</v>
      </c>
      <c r="J788" s="23">
        <f t="shared" si="168"/>
        <v>9000</v>
      </c>
      <c r="K788" s="23">
        <f t="shared" si="168"/>
        <v>9000.119999999999</v>
      </c>
      <c r="L788" s="7">
        <f t="shared" si="168"/>
        <v>8999.630000000001</v>
      </c>
      <c r="M788" s="7">
        <f aca="true" t="shared" si="169" ref="M788:R788">SUM(M786:M787)</f>
        <v>9876.470000000001</v>
      </c>
      <c r="N788" s="7">
        <f t="shared" si="169"/>
        <v>12847.8</v>
      </c>
      <c r="O788" s="7">
        <f t="shared" si="169"/>
        <v>11000</v>
      </c>
      <c r="P788" s="7">
        <f t="shared" si="169"/>
        <v>11000</v>
      </c>
      <c r="Q788" s="7">
        <f t="shared" si="169"/>
        <v>11000</v>
      </c>
      <c r="R788" s="7">
        <f t="shared" si="169"/>
        <v>0</v>
      </c>
    </row>
    <row r="789" spans="3:10" ht="12.75">
      <c r="C789" s="196">
        <v>12912</v>
      </c>
      <c r="D789" s="196"/>
      <c r="J789" s="8"/>
    </row>
    <row r="790" spans="1:17" ht="12.75">
      <c r="A790" s="3" t="s">
        <v>410</v>
      </c>
      <c r="B790" s="11" t="s">
        <v>411</v>
      </c>
      <c r="C790" s="36">
        <v>524500</v>
      </c>
      <c r="E790" s="3" t="s">
        <v>412</v>
      </c>
      <c r="F790" s="19">
        <v>428</v>
      </c>
      <c r="G790" s="19">
        <v>500</v>
      </c>
      <c r="H790" s="19">
        <v>494.14</v>
      </c>
      <c r="I790" s="8">
        <v>240</v>
      </c>
      <c r="J790" s="10">
        <v>510.38</v>
      </c>
      <c r="K790" s="10">
        <v>591.86</v>
      </c>
      <c r="L790" s="9">
        <v>444.72</v>
      </c>
      <c r="N790" s="9">
        <v>0</v>
      </c>
      <c r="O790" s="9">
        <v>500</v>
      </c>
      <c r="P790" s="9">
        <v>500</v>
      </c>
      <c r="Q790" s="9">
        <v>3000</v>
      </c>
    </row>
    <row r="791" spans="1:16" ht="12.75" hidden="1">
      <c r="A791" s="3" t="s">
        <v>413</v>
      </c>
      <c r="B791" s="11" t="s">
        <v>414</v>
      </c>
      <c r="E791" s="3" t="s">
        <v>415</v>
      </c>
      <c r="F791" s="19">
        <v>2021</v>
      </c>
      <c r="G791" s="19">
        <v>1937.3</v>
      </c>
      <c r="H791" s="19">
        <v>0</v>
      </c>
      <c r="I791" s="8">
        <v>0</v>
      </c>
      <c r="J791" s="9">
        <v>0</v>
      </c>
      <c r="K791" s="10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</row>
    <row r="792" spans="2:17" ht="12.75">
      <c r="B792" s="36">
        <v>5856</v>
      </c>
      <c r="C792" s="36">
        <v>530000</v>
      </c>
      <c r="E792" s="3" t="s">
        <v>415</v>
      </c>
      <c r="K792" s="10"/>
      <c r="N792" s="9">
        <v>1268.66</v>
      </c>
      <c r="O792" s="9">
        <v>5000</v>
      </c>
      <c r="P792" s="9">
        <v>5000</v>
      </c>
      <c r="Q792" s="9">
        <v>5000</v>
      </c>
    </row>
    <row r="793" spans="1:17" ht="12.75">
      <c r="A793" s="3" t="s">
        <v>416</v>
      </c>
      <c r="B793" s="11" t="s">
        <v>417</v>
      </c>
      <c r="C793" s="36">
        <v>534100</v>
      </c>
      <c r="E793" s="3" t="s">
        <v>2470</v>
      </c>
      <c r="F793" s="19">
        <v>1999</v>
      </c>
      <c r="G793" s="19">
        <v>1823.7</v>
      </c>
      <c r="H793" s="19">
        <v>2155.43</v>
      </c>
      <c r="I793" s="8">
        <v>2369.83</v>
      </c>
      <c r="J793" s="8">
        <v>2344.96</v>
      </c>
      <c r="K793" s="10">
        <v>2190.11</v>
      </c>
      <c r="L793" s="9">
        <v>2381.9</v>
      </c>
      <c r="M793" s="9">
        <v>2277.64</v>
      </c>
      <c r="N793" s="9">
        <v>2600.5</v>
      </c>
      <c r="O793" s="9">
        <v>2200</v>
      </c>
      <c r="P793" s="9">
        <v>2200</v>
      </c>
      <c r="Q793" s="9">
        <v>2200</v>
      </c>
    </row>
    <row r="794" spans="1:18" ht="12.75" hidden="1">
      <c r="A794" s="3" t="s">
        <v>416</v>
      </c>
      <c r="B794" s="11" t="s">
        <v>418</v>
      </c>
      <c r="E794" s="3" t="s">
        <v>419</v>
      </c>
      <c r="F794" s="19">
        <v>0</v>
      </c>
      <c r="G794" s="19">
        <v>0</v>
      </c>
      <c r="H794" s="19">
        <v>0</v>
      </c>
      <c r="J794" s="8">
        <v>1864</v>
      </c>
      <c r="K794" s="10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</row>
    <row r="795" spans="1:17" ht="12.75">
      <c r="A795" s="3" t="s">
        <v>420</v>
      </c>
      <c r="B795" s="11" t="s">
        <v>421</v>
      </c>
      <c r="C795" s="36">
        <v>542100</v>
      </c>
      <c r="E795" s="3" t="s">
        <v>2201</v>
      </c>
      <c r="F795" s="19">
        <v>323</v>
      </c>
      <c r="G795" s="19">
        <v>298.36</v>
      </c>
      <c r="H795" s="19">
        <v>307.23</v>
      </c>
      <c r="I795" s="8">
        <v>378.92</v>
      </c>
      <c r="J795" s="10">
        <v>268</v>
      </c>
      <c r="K795" s="10">
        <v>221.7</v>
      </c>
      <c r="L795" s="9">
        <v>27</v>
      </c>
      <c r="M795" s="9">
        <v>189.95</v>
      </c>
      <c r="N795" s="9">
        <v>250.92</v>
      </c>
      <c r="O795" s="9">
        <v>300</v>
      </c>
      <c r="P795" s="9">
        <v>300</v>
      </c>
      <c r="Q795" s="9">
        <v>300</v>
      </c>
    </row>
    <row r="796" spans="1:17" ht="12.75">
      <c r="A796" s="3" t="s">
        <v>422</v>
      </c>
      <c r="B796" s="11" t="s">
        <v>423</v>
      </c>
      <c r="C796" s="36">
        <v>573000</v>
      </c>
      <c r="E796" s="3" t="s">
        <v>424</v>
      </c>
      <c r="F796" s="19">
        <v>25</v>
      </c>
      <c r="G796" s="19">
        <v>50.6</v>
      </c>
      <c r="H796" s="19">
        <v>25</v>
      </c>
      <c r="I796" s="8">
        <v>50</v>
      </c>
      <c r="J796" s="10">
        <v>48.5</v>
      </c>
      <c r="K796" s="10">
        <v>20</v>
      </c>
      <c r="L796" s="9">
        <v>34.15</v>
      </c>
      <c r="M796" s="9">
        <v>50</v>
      </c>
      <c r="N796" s="9">
        <v>0</v>
      </c>
      <c r="O796" s="9">
        <v>50</v>
      </c>
      <c r="P796" s="9">
        <v>50</v>
      </c>
      <c r="Q796" s="9">
        <v>50</v>
      </c>
    </row>
    <row r="797" spans="5:18" ht="12.75">
      <c r="E797" s="20" t="s">
        <v>2274</v>
      </c>
      <c r="F797" s="25">
        <f aca="true" t="shared" si="170" ref="F797:K797">SUM(F796)</f>
        <v>25</v>
      </c>
      <c r="G797" s="25">
        <f t="shared" si="170"/>
        <v>50.6</v>
      </c>
      <c r="H797" s="25">
        <f t="shared" si="170"/>
        <v>25</v>
      </c>
      <c r="I797" s="23">
        <f t="shared" si="170"/>
        <v>50</v>
      </c>
      <c r="J797" s="23">
        <f t="shared" si="170"/>
        <v>48.5</v>
      </c>
      <c r="K797" s="23">
        <f t="shared" si="170"/>
        <v>20</v>
      </c>
      <c r="L797" s="7">
        <f>SUM(L790:L796)</f>
        <v>2887.77</v>
      </c>
      <c r="M797" s="7">
        <f aca="true" t="shared" si="171" ref="M797:R797">SUM(M790:M796)</f>
        <v>2517.5899999999997</v>
      </c>
      <c r="N797" s="7">
        <f t="shared" si="171"/>
        <v>4120.08</v>
      </c>
      <c r="O797" s="7">
        <f t="shared" si="171"/>
        <v>8050</v>
      </c>
      <c r="P797" s="7">
        <f t="shared" si="171"/>
        <v>8050</v>
      </c>
      <c r="Q797" s="7">
        <f t="shared" si="171"/>
        <v>10550</v>
      </c>
      <c r="R797" s="7">
        <f t="shared" si="171"/>
        <v>0</v>
      </c>
    </row>
    <row r="798" spans="3:10" ht="12.75">
      <c r="C798" s="196">
        <v>12913</v>
      </c>
      <c r="D798" s="196"/>
      <c r="J798" s="8"/>
    </row>
    <row r="799" spans="1:17" ht="12.75">
      <c r="A799" s="3" t="s">
        <v>425</v>
      </c>
      <c r="B799" s="36">
        <v>5860</v>
      </c>
      <c r="C799" s="36">
        <v>587100</v>
      </c>
      <c r="E799" s="3" t="s">
        <v>258</v>
      </c>
      <c r="F799" s="19">
        <v>0</v>
      </c>
      <c r="G799" s="19">
        <v>1602.04</v>
      </c>
      <c r="H799" s="19">
        <v>5435.45</v>
      </c>
      <c r="I799" s="8">
        <v>1459.06</v>
      </c>
      <c r="J799" s="10">
        <v>1164.4</v>
      </c>
      <c r="K799" s="10">
        <v>746.84</v>
      </c>
      <c r="L799" s="9">
        <v>416.76</v>
      </c>
      <c r="M799" s="9">
        <v>77.46</v>
      </c>
      <c r="N799" s="9">
        <v>796.84</v>
      </c>
      <c r="O799" s="9">
        <v>1550</v>
      </c>
      <c r="P799" s="9">
        <v>1550</v>
      </c>
      <c r="Q799" s="9">
        <v>1550</v>
      </c>
    </row>
    <row r="800" spans="2:18" ht="12.75" hidden="1">
      <c r="B800" s="36">
        <v>5861</v>
      </c>
      <c r="E800" s="3" t="s">
        <v>426</v>
      </c>
      <c r="F800" s="19">
        <v>0</v>
      </c>
      <c r="G800" s="19">
        <v>0</v>
      </c>
      <c r="H800" s="19">
        <v>2998.02</v>
      </c>
      <c r="I800" s="8">
        <v>0</v>
      </c>
      <c r="J800" s="9">
        <v>0</v>
      </c>
      <c r="K800" s="10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</row>
    <row r="801" spans="2:18" ht="12.75" hidden="1">
      <c r="B801" s="36">
        <v>5862</v>
      </c>
      <c r="E801" s="3" t="s">
        <v>427</v>
      </c>
      <c r="F801" s="19">
        <v>0</v>
      </c>
      <c r="G801" s="19">
        <v>0</v>
      </c>
      <c r="H801" s="19">
        <v>1233.69</v>
      </c>
      <c r="I801" s="8">
        <v>0</v>
      </c>
      <c r="J801" s="8">
        <v>250</v>
      </c>
      <c r="K801" s="10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</row>
    <row r="802" spans="2:18" ht="12.75" hidden="1">
      <c r="B802" s="11" t="s">
        <v>1102</v>
      </c>
      <c r="E802" s="3" t="s">
        <v>1101</v>
      </c>
      <c r="J802" s="8"/>
      <c r="K802" s="10"/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</row>
    <row r="803" spans="5:18" ht="12.75">
      <c r="E803" s="20" t="s">
        <v>2277</v>
      </c>
      <c r="F803" s="25">
        <f aca="true" t="shared" si="172" ref="F803:K803">SUM(F799:F801)</f>
        <v>0</v>
      </c>
      <c r="G803" s="25">
        <f t="shared" si="172"/>
        <v>1602.04</v>
      </c>
      <c r="H803" s="25">
        <f t="shared" si="172"/>
        <v>9667.16</v>
      </c>
      <c r="I803" s="23">
        <f t="shared" si="172"/>
        <v>1459.06</v>
      </c>
      <c r="J803" s="23">
        <f t="shared" si="172"/>
        <v>1414.4</v>
      </c>
      <c r="K803" s="23">
        <f t="shared" si="172"/>
        <v>746.84</v>
      </c>
      <c r="L803" s="7">
        <f>SUM(L799:L802)</f>
        <v>416.76</v>
      </c>
      <c r="M803" s="7">
        <v>1100</v>
      </c>
      <c r="N803" s="7">
        <f>SUM(N799:N801)</f>
        <v>796.84</v>
      </c>
      <c r="O803" s="7">
        <f>SUM(O799:O801)</f>
        <v>1550</v>
      </c>
      <c r="P803" s="7">
        <f>SUM(P799:P801)</f>
        <v>1550</v>
      </c>
      <c r="Q803" s="7">
        <f>SUM(Q799:Q801)</f>
        <v>1550</v>
      </c>
      <c r="R803" s="7">
        <f>SUM(R799:R801)</f>
        <v>0</v>
      </c>
    </row>
    <row r="805" spans="5:18" ht="12.75">
      <c r="E805" s="2" t="s">
        <v>428</v>
      </c>
      <c r="F805" s="31">
        <f aca="true" t="shared" si="173" ref="F805:K805">SUM(F786:F803)/2</f>
        <v>2410.5</v>
      </c>
      <c r="G805" s="31">
        <f t="shared" si="173"/>
        <v>3932.32</v>
      </c>
      <c r="H805" s="31">
        <f t="shared" si="173"/>
        <v>15858.06</v>
      </c>
      <c r="I805" s="28">
        <f t="shared" si="173"/>
        <v>8503.435</v>
      </c>
      <c r="J805" s="28">
        <f t="shared" si="173"/>
        <v>12956.570000000002</v>
      </c>
      <c r="K805" s="28">
        <f t="shared" si="173"/>
        <v>11268.795</v>
      </c>
      <c r="L805" s="32">
        <f>SUM(L786:L803)/2</f>
        <v>12304.160000000002</v>
      </c>
      <c r="M805" s="32">
        <f aca="true" t="shared" si="174" ref="M805:R805">SUM(M786:M803)/2</f>
        <v>12982.79</v>
      </c>
      <c r="N805" s="32">
        <f t="shared" si="174"/>
        <v>17764.719999999994</v>
      </c>
      <c r="O805" s="32">
        <f t="shared" si="174"/>
        <v>20600</v>
      </c>
      <c r="P805" s="32">
        <f>SUM(P786:P803)/2</f>
        <v>20600</v>
      </c>
      <c r="Q805" s="32">
        <f t="shared" si="174"/>
        <v>23100</v>
      </c>
      <c r="R805" s="32">
        <f t="shared" si="174"/>
        <v>0</v>
      </c>
    </row>
    <row r="806" spans="5:10" ht="12.75">
      <c r="E806" s="38"/>
      <c r="I806" s="28"/>
      <c r="J806" s="32"/>
    </row>
    <row r="807" spans="1:18" ht="12.75">
      <c r="A807" s="3" t="s">
        <v>2931</v>
      </c>
      <c r="E807" s="55" t="s">
        <v>429</v>
      </c>
      <c r="F807" s="7">
        <f>F805+F783++F673</f>
        <v>6735658.666666666</v>
      </c>
      <c r="G807" s="7">
        <f>G805+G783++G673</f>
        <v>7158316.274999998</v>
      </c>
      <c r="H807" s="7">
        <f>H805+H783++H673</f>
        <v>8191119.985</v>
      </c>
      <c r="I807" s="7">
        <f>I805+I783++I673</f>
        <v>7887697.055000001</v>
      </c>
      <c r="J807" s="7">
        <f>J805+J783++J673</f>
        <v>8470702.44</v>
      </c>
      <c r="K807" s="7">
        <f aca="true" t="shared" si="175" ref="K807:R807">K805+K783+K673</f>
        <v>8951850.019999998</v>
      </c>
      <c r="L807" s="7">
        <f t="shared" si="175"/>
        <v>8858080.613333335</v>
      </c>
      <c r="M807" s="7">
        <f t="shared" si="175"/>
        <v>8891974.576666666</v>
      </c>
      <c r="N807" s="7">
        <f t="shared" si="175"/>
        <v>9289253.253333334</v>
      </c>
      <c r="O807" s="7">
        <f t="shared" si="175"/>
        <v>9899717</v>
      </c>
      <c r="P807" s="7">
        <f>P805+P783+P673</f>
        <v>9894797</v>
      </c>
      <c r="Q807" s="7">
        <f t="shared" si="175"/>
        <v>10251942</v>
      </c>
      <c r="R807" s="7">
        <f t="shared" si="175"/>
        <v>0</v>
      </c>
    </row>
    <row r="808" ht="12.75">
      <c r="J808" s="23"/>
    </row>
    <row r="809" spans="1:5" ht="12.75">
      <c r="A809" s="3" t="s">
        <v>2180</v>
      </c>
      <c r="E809" s="163" t="s">
        <v>321</v>
      </c>
    </row>
    <row r="810" spans="1:14" ht="12.75">
      <c r="A810" s="3" t="s">
        <v>430</v>
      </c>
      <c r="B810" s="11" t="s">
        <v>431</v>
      </c>
      <c r="E810" s="3" t="s">
        <v>432</v>
      </c>
      <c r="F810" s="19">
        <v>16225105</v>
      </c>
      <c r="G810" s="19">
        <v>16921911.46</v>
      </c>
      <c r="H810" s="19">
        <v>17590858.5</v>
      </c>
      <c r="I810" s="8">
        <v>18516380.79</v>
      </c>
      <c r="J810" s="9">
        <v>19049795.12</v>
      </c>
      <c r="K810" s="10">
        <v>19366450.93</v>
      </c>
      <c r="L810" s="9">
        <v>19739150.52</v>
      </c>
      <c r="M810" s="9">
        <v>20512297.9</v>
      </c>
      <c r="N810" s="9">
        <v>21142786.14</v>
      </c>
    </row>
    <row r="811" spans="1:18" ht="12.75">
      <c r="A811" s="3" t="s">
        <v>433</v>
      </c>
      <c r="B811" s="11" t="s">
        <v>434</v>
      </c>
      <c r="E811" s="3" t="s">
        <v>2683</v>
      </c>
      <c r="F811" s="19">
        <v>78357</v>
      </c>
      <c r="G811" s="19">
        <v>58768</v>
      </c>
      <c r="H811" s="19">
        <v>58768</v>
      </c>
      <c r="I811" s="8">
        <v>58768</v>
      </c>
      <c r="J811" s="9">
        <v>58768</v>
      </c>
      <c r="K811" s="8">
        <v>58768</v>
      </c>
      <c r="L811" s="9">
        <v>58768</v>
      </c>
      <c r="M811" s="9">
        <v>93530</v>
      </c>
      <c r="N811" s="9">
        <v>77769</v>
      </c>
      <c r="O811" s="9">
        <v>0</v>
      </c>
      <c r="P811" s="9">
        <v>0</v>
      </c>
      <c r="Q811" s="9">
        <v>0</v>
      </c>
      <c r="R811" s="9">
        <v>0</v>
      </c>
    </row>
    <row r="812" spans="1:18" ht="12.75">
      <c r="A812" s="3" t="s">
        <v>435</v>
      </c>
      <c r="B812" s="11" t="s">
        <v>436</v>
      </c>
      <c r="E812" s="3" t="s">
        <v>2914</v>
      </c>
      <c r="F812" s="19">
        <v>37500</v>
      </c>
      <c r="G812" s="19">
        <v>58870</v>
      </c>
      <c r="H812" s="19">
        <v>50000</v>
      </c>
      <c r="I812" s="8">
        <v>50000</v>
      </c>
      <c r="J812" s="9">
        <v>50000</v>
      </c>
      <c r="K812" s="8">
        <v>50000</v>
      </c>
      <c r="L812" s="9">
        <v>50000</v>
      </c>
      <c r="M812" s="9">
        <v>3069</v>
      </c>
      <c r="N812" s="9">
        <v>41690.08</v>
      </c>
      <c r="O812" s="9">
        <v>0</v>
      </c>
      <c r="P812" s="9">
        <v>0</v>
      </c>
      <c r="Q812" s="9">
        <v>0</v>
      </c>
      <c r="R812" s="9">
        <v>0</v>
      </c>
    </row>
    <row r="813" spans="1:10" ht="12.75" hidden="1">
      <c r="A813" s="3" t="s">
        <v>437</v>
      </c>
      <c r="B813" s="11" t="s">
        <v>438</v>
      </c>
      <c r="E813" s="3" t="s">
        <v>2219</v>
      </c>
      <c r="F813" s="19">
        <v>5000</v>
      </c>
      <c r="G813" s="19">
        <v>5000</v>
      </c>
      <c r="H813" s="19">
        <v>5000</v>
      </c>
      <c r="I813" s="8">
        <v>0</v>
      </c>
      <c r="J813" s="9">
        <v>0</v>
      </c>
    </row>
    <row r="814" spans="1:18" ht="12.75">
      <c r="A814" s="3" t="s">
        <v>439</v>
      </c>
      <c r="B814" s="11" t="s">
        <v>440</v>
      </c>
      <c r="E814" s="3" t="s">
        <v>441</v>
      </c>
      <c r="F814" s="19">
        <v>1256491</v>
      </c>
      <c r="G814" s="19">
        <v>1394523</v>
      </c>
      <c r="H814" s="19">
        <v>1541207</v>
      </c>
      <c r="I814" s="8">
        <v>1539791</v>
      </c>
      <c r="J814" s="9">
        <v>1862356</v>
      </c>
      <c r="K814" s="8">
        <v>2230460</v>
      </c>
      <c r="L814" s="9">
        <v>2523477.22</v>
      </c>
      <c r="M814" s="9">
        <v>2912447.08</v>
      </c>
      <c r="N814" s="9">
        <v>3377578.13</v>
      </c>
      <c r="O814" s="9">
        <v>0</v>
      </c>
      <c r="P814" s="9">
        <v>0</v>
      </c>
      <c r="Q814" s="9">
        <v>0</v>
      </c>
      <c r="R814" s="9">
        <v>0</v>
      </c>
    </row>
    <row r="815" spans="1:18" ht="12.75">
      <c r="A815" s="3" t="s">
        <v>442</v>
      </c>
      <c r="B815" s="11" t="s">
        <v>443</v>
      </c>
      <c r="E815" s="61" t="s">
        <v>444</v>
      </c>
      <c r="F815" s="19">
        <v>112882</v>
      </c>
      <c r="G815" s="19">
        <v>119835</v>
      </c>
      <c r="H815" s="19">
        <v>125501</v>
      </c>
      <c r="I815" s="8">
        <v>141580</v>
      </c>
      <c r="J815" s="9">
        <v>166670</v>
      </c>
      <c r="K815" s="8">
        <v>175340</v>
      </c>
      <c r="L815" s="9">
        <v>175340</v>
      </c>
      <c r="M815" s="9">
        <v>193618</v>
      </c>
      <c r="N815" s="9">
        <v>236933.13</v>
      </c>
      <c r="O815" s="9">
        <v>0</v>
      </c>
      <c r="P815" s="9">
        <v>0</v>
      </c>
      <c r="Q815" s="9">
        <v>0</v>
      </c>
      <c r="R815" s="9">
        <v>0</v>
      </c>
    </row>
    <row r="816" spans="2:18" ht="12.75">
      <c r="B816" s="11" t="s">
        <v>445</v>
      </c>
      <c r="E816" s="61" t="s">
        <v>446</v>
      </c>
      <c r="F816" s="19">
        <v>346612</v>
      </c>
      <c r="G816" s="19">
        <v>387492</v>
      </c>
      <c r="H816" s="19">
        <v>414593</v>
      </c>
      <c r="I816" s="8">
        <v>453890</v>
      </c>
      <c r="J816" s="9">
        <v>510626</v>
      </c>
      <c r="K816" s="8">
        <v>815167</v>
      </c>
      <c r="L816" s="9">
        <v>932789.41</v>
      </c>
      <c r="M816" s="9">
        <v>1219390.53</v>
      </c>
      <c r="N816" s="9">
        <v>1333738.69</v>
      </c>
      <c r="O816" s="9">
        <v>0</v>
      </c>
      <c r="P816" s="9">
        <v>0</v>
      </c>
      <c r="Q816" s="9">
        <v>0</v>
      </c>
      <c r="R816" s="9">
        <v>0</v>
      </c>
    </row>
    <row r="817" spans="5:14" ht="12.75" hidden="1">
      <c r="E817" s="61" t="s">
        <v>3181</v>
      </c>
      <c r="N817" s="9">
        <v>0</v>
      </c>
    </row>
    <row r="818" ht="12.75">
      <c r="E818" s="61"/>
    </row>
    <row r="819" spans="1:18" ht="12.75">
      <c r="A819" s="20"/>
      <c r="B819" s="51"/>
      <c r="C819" s="196"/>
      <c r="D819" s="196"/>
      <c r="E819" s="4" t="s">
        <v>447</v>
      </c>
      <c r="F819" s="5">
        <f aca="true" t="shared" si="176" ref="F819:L819">SUM(F810:F816)</f>
        <v>18061947</v>
      </c>
      <c r="G819" s="5">
        <f t="shared" si="176"/>
        <v>18946399.46</v>
      </c>
      <c r="H819" s="5">
        <f t="shared" si="176"/>
        <v>19785927.5</v>
      </c>
      <c r="I819" s="22">
        <f t="shared" si="176"/>
        <v>20760409.79</v>
      </c>
      <c r="J819" s="22">
        <f t="shared" si="176"/>
        <v>21698215.12</v>
      </c>
      <c r="K819" s="22">
        <f t="shared" si="176"/>
        <v>22696185.93</v>
      </c>
      <c r="L819" s="7">
        <f t="shared" si="176"/>
        <v>23479525.15</v>
      </c>
      <c r="M819" s="7">
        <f>SUM(M810:M816)</f>
        <v>24934352.509999998</v>
      </c>
      <c r="N819" s="7">
        <f>SUM(N810:N817)</f>
        <v>26210495.169999998</v>
      </c>
      <c r="O819" s="7">
        <v>27735871</v>
      </c>
      <c r="P819" s="7">
        <v>27735871</v>
      </c>
      <c r="Q819" s="7">
        <v>30176052</v>
      </c>
      <c r="R819" s="7">
        <f>SUM(R810:R817)</f>
        <v>0</v>
      </c>
    </row>
    <row r="820" ht="6" customHeight="1"/>
    <row r="821" spans="1:18" ht="12.75">
      <c r="A821" s="62">
        <f>5200-200</f>
        <v>5000</v>
      </c>
      <c r="B821" s="11" t="s">
        <v>448</v>
      </c>
      <c r="E821" s="63" t="s">
        <v>449</v>
      </c>
      <c r="F821" s="31">
        <v>4059756</v>
      </c>
      <c r="G821" s="31">
        <v>3954293.22</v>
      </c>
      <c r="H821" s="31">
        <v>4909290</v>
      </c>
      <c r="I821" s="57">
        <v>4894633.2</v>
      </c>
      <c r="J821" s="57">
        <v>5675398.13</v>
      </c>
      <c r="K821" s="8">
        <v>5564561.64</v>
      </c>
      <c r="L821" s="9">
        <v>5951072</v>
      </c>
      <c r="M821" s="9">
        <v>6071008.8</v>
      </c>
      <c r="N821" s="9">
        <v>6710944.38</v>
      </c>
      <c r="O821" s="9">
        <v>6910923</v>
      </c>
      <c r="P821" s="9">
        <v>6910923</v>
      </c>
      <c r="Q821" s="9">
        <v>7720110</v>
      </c>
      <c r="R821" s="9">
        <v>0</v>
      </c>
    </row>
    <row r="822" ht="6" customHeight="1"/>
    <row r="823" spans="1:18" ht="12.75" hidden="1">
      <c r="A823" s="3" t="s">
        <v>450</v>
      </c>
      <c r="E823" s="63" t="s">
        <v>451</v>
      </c>
      <c r="F823" s="5">
        <v>0</v>
      </c>
      <c r="G823" s="5">
        <v>0</v>
      </c>
      <c r="H823" s="5">
        <v>0</v>
      </c>
      <c r="I823" s="22">
        <v>0</v>
      </c>
      <c r="J823" s="23">
        <v>0</v>
      </c>
      <c r="K823" s="23">
        <v>0</v>
      </c>
      <c r="L823" s="7">
        <v>0</v>
      </c>
      <c r="M823" s="7"/>
      <c r="N823" s="7"/>
      <c r="O823" s="7"/>
      <c r="P823" s="7"/>
      <c r="Q823" s="7"/>
      <c r="R823" s="7"/>
    </row>
    <row r="824" ht="12.75" hidden="1"/>
    <row r="825" spans="5:18" ht="12.75">
      <c r="E825" s="2" t="s">
        <v>452</v>
      </c>
      <c r="F825" s="26">
        <f aca="true" t="shared" si="177" ref="F825:K825">F819+F821+F823</f>
        <v>22121703</v>
      </c>
      <c r="G825" s="26">
        <f t="shared" si="177"/>
        <v>22900692.68</v>
      </c>
      <c r="H825" s="26">
        <f t="shared" si="177"/>
        <v>24695217.5</v>
      </c>
      <c r="I825" s="27">
        <f t="shared" si="177"/>
        <v>25655042.99</v>
      </c>
      <c r="J825" s="28">
        <f t="shared" si="177"/>
        <v>27373613.25</v>
      </c>
      <c r="K825" s="28">
        <f t="shared" si="177"/>
        <v>28260747.57</v>
      </c>
      <c r="L825" s="32">
        <f>SUM(L819:L823)</f>
        <v>29430597.15</v>
      </c>
      <c r="M825" s="32">
        <f>SUM(M819:M823)</f>
        <v>31005361.31</v>
      </c>
      <c r="N825" s="32">
        <f>SUM(N819:N823)</f>
        <v>32921439.549999997</v>
      </c>
      <c r="O825" s="32">
        <f>SUM(O819:O821)</f>
        <v>34646794</v>
      </c>
      <c r="P825" s="32">
        <f>SUM(P819:P821)</f>
        <v>34646794</v>
      </c>
      <c r="Q825" s="32">
        <f>SUM(Q819:Q821)</f>
        <v>37896162</v>
      </c>
      <c r="R825" s="32"/>
    </row>
    <row r="826" spans="5:18" ht="12.75">
      <c r="E826" s="2"/>
      <c r="F826" s="26"/>
      <c r="G826" s="26"/>
      <c r="H826" s="26"/>
      <c r="I826" s="27"/>
      <c r="J826" s="28"/>
      <c r="K826" s="28"/>
      <c r="L826" s="32"/>
      <c r="M826" s="32"/>
      <c r="N826" s="32"/>
      <c r="O826" s="32"/>
      <c r="P826" s="32"/>
      <c r="Q826" s="32"/>
      <c r="R826" s="32"/>
    </row>
    <row r="828" spans="1:10" ht="12.75" hidden="1">
      <c r="A828" s="3" t="s">
        <v>454</v>
      </c>
      <c r="B828" s="11" t="s">
        <v>445</v>
      </c>
      <c r="E828" s="3" t="s">
        <v>455</v>
      </c>
      <c r="F828" s="19">
        <v>0</v>
      </c>
      <c r="G828" s="19">
        <v>0</v>
      </c>
      <c r="H828" s="19">
        <v>0</v>
      </c>
      <c r="I828" s="8">
        <v>0</v>
      </c>
      <c r="J828" s="10">
        <v>0</v>
      </c>
    </row>
    <row r="829" ht="12.75" hidden="1">
      <c r="J829" s="9">
        <v>0</v>
      </c>
    </row>
    <row r="830" spans="1:17" ht="12.75">
      <c r="A830" s="3" t="s">
        <v>456</v>
      </c>
      <c r="B830" s="11" t="s">
        <v>457</v>
      </c>
      <c r="E830" s="3" t="s">
        <v>458</v>
      </c>
      <c r="F830" s="19">
        <v>691534</v>
      </c>
      <c r="G830" s="19">
        <v>679046</v>
      </c>
      <c r="H830" s="19">
        <v>767516</v>
      </c>
      <c r="I830" s="8">
        <v>744857</v>
      </c>
      <c r="J830" s="9">
        <v>644823</v>
      </c>
      <c r="K830" s="10">
        <v>504519</v>
      </c>
      <c r="L830" s="9">
        <v>574614</v>
      </c>
      <c r="M830" s="9">
        <v>556945</v>
      </c>
      <c r="N830" s="9">
        <f>432534+164529-34000+23899</f>
        <v>586962</v>
      </c>
      <c r="O830" s="9">
        <f>610000-4887</f>
        <v>605113</v>
      </c>
      <c r="P830" s="9">
        <v>605113</v>
      </c>
      <c r="Q830" s="9">
        <v>517075</v>
      </c>
    </row>
    <row r="831" spans="2:10" ht="12.75" hidden="1">
      <c r="B831" s="11" t="s">
        <v>459</v>
      </c>
      <c r="E831" s="3" t="s">
        <v>460</v>
      </c>
      <c r="F831" s="19">
        <v>0</v>
      </c>
      <c r="H831" s="19">
        <v>0</v>
      </c>
      <c r="I831" s="8">
        <v>0</v>
      </c>
      <c r="J831" s="9">
        <v>0</v>
      </c>
    </row>
    <row r="832" spans="2:18" ht="12.75">
      <c r="B832" s="15"/>
      <c r="C832" s="39"/>
      <c r="D832" s="39"/>
      <c r="E832" s="30" t="s">
        <v>461</v>
      </c>
      <c r="F832" s="56">
        <f aca="true" t="shared" si="178" ref="F832:L832">SUM(F830:F831)</f>
        <v>691534</v>
      </c>
      <c r="G832" s="56">
        <f t="shared" si="178"/>
        <v>679046</v>
      </c>
      <c r="H832" s="56">
        <f t="shared" si="178"/>
        <v>767516</v>
      </c>
      <c r="I832" s="28">
        <f t="shared" si="178"/>
        <v>744857</v>
      </c>
      <c r="J832" s="28">
        <f t="shared" si="178"/>
        <v>644823</v>
      </c>
      <c r="K832" s="28">
        <f t="shared" si="178"/>
        <v>504519</v>
      </c>
      <c r="L832" s="28">
        <f t="shared" si="178"/>
        <v>574614</v>
      </c>
      <c r="M832" s="28">
        <f aca="true" t="shared" si="179" ref="M832:R832">SUM(M830:M831)</f>
        <v>556945</v>
      </c>
      <c r="N832" s="28">
        <f t="shared" si="179"/>
        <v>586962</v>
      </c>
      <c r="O832" s="28">
        <f t="shared" si="179"/>
        <v>605113</v>
      </c>
      <c r="P832" s="28">
        <f t="shared" si="179"/>
        <v>605113</v>
      </c>
      <c r="Q832" s="28">
        <f t="shared" si="179"/>
        <v>517075</v>
      </c>
      <c r="R832" s="28">
        <f t="shared" si="179"/>
        <v>0</v>
      </c>
    </row>
    <row r="833" spans="12:18" ht="12.75">
      <c r="L833" s="8"/>
      <c r="M833" s="8"/>
      <c r="N833" s="8"/>
      <c r="O833" s="8"/>
      <c r="P833" s="8"/>
      <c r="Q833" s="8"/>
      <c r="R833" s="8"/>
    </row>
    <row r="834" spans="1:18" ht="12.75">
      <c r="A834" s="3" t="s">
        <v>2180</v>
      </c>
      <c r="E834" s="2" t="s">
        <v>462</v>
      </c>
      <c r="F834" s="31">
        <f aca="true" t="shared" si="180" ref="F834:L834">F825+F832</f>
        <v>22813237</v>
      </c>
      <c r="G834" s="31">
        <f t="shared" si="180"/>
        <v>23579738.68</v>
      </c>
      <c r="H834" s="31">
        <f t="shared" si="180"/>
        <v>25462733.5</v>
      </c>
      <c r="I834" s="28">
        <f t="shared" si="180"/>
        <v>26399899.99</v>
      </c>
      <c r="J834" s="28">
        <f t="shared" si="180"/>
        <v>28018436.25</v>
      </c>
      <c r="K834" s="28">
        <f t="shared" si="180"/>
        <v>28765266.57</v>
      </c>
      <c r="L834" s="28">
        <f t="shared" si="180"/>
        <v>30005211.15</v>
      </c>
      <c r="M834" s="28">
        <f aca="true" t="shared" si="181" ref="M834:R834">M825+M832</f>
        <v>31562306.31</v>
      </c>
      <c r="N834" s="28">
        <f t="shared" si="181"/>
        <v>33508401.549999997</v>
      </c>
      <c r="O834" s="28">
        <f t="shared" si="181"/>
        <v>35251907</v>
      </c>
      <c r="P834" s="28">
        <f t="shared" si="181"/>
        <v>35251907</v>
      </c>
      <c r="Q834" s="28">
        <f t="shared" si="181"/>
        <v>38413237</v>
      </c>
      <c r="R834" s="28">
        <f t="shared" si="181"/>
        <v>0</v>
      </c>
    </row>
    <row r="835" spans="5:9" ht="12.75">
      <c r="E835" s="2"/>
      <c r="F835" s="31"/>
      <c r="G835" s="31"/>
      <c r="H835" s="31"/>
      <c r="I835" s="28"/>
    </row>
    <row r="836" spans="2:10" ht="14.25" hidden="1">
      <c r="B836" s="52" t="s">
        <v>2241</v>
      </c>
      <c r="C836" s="197"/>
      <c r="D836" s="197"/>
      <c r="E836" s="34" t="s">
        <v>463</v>
      </c>
      <c r="F836" s="31"/>
      <c r="G836" s="31"/>
      <c r="H836" s="31"/>
      <c r="I836" s="28"/>
      <c r="J836" s="28"/>
    </row>
    <row r="837" spans="2:10" ht="18.75" hidden="1">
      <c r="B837" s="64" t="s">
        <v>453</v>
      </c>
      <c r="C837" s="199"/>
      <c r="D837" s="199"/>
      <c r="E837" s="34" t="s">
        <v>464</v>
      </c>
      <c r="F837" s="31"/>
      <c r="G837" s="31"/>
      <c r="H837" s="31"/>
      <c r="I837" s="28"/>
      <c r="J837" s="32"/>
    </row>
    <row r="838" spans="5:10" ht="12.75">
      <c r="E838" s="2"/>
      <c r="F838" s="31"/>
      <c r="G838" s="31"/>
      <c r="H838" s="31"/>
      <c r="J838" s="32"/>
    </row>
    <row r="839" spans="1:10" ht="12.75">
      <c r="A839" s="3" t="s">
        <v>2180</v>
      </c>
      <c r="E839" s="163" t="s">
        <v>465</v>
      </c>
      <c r="J839" s="32"/>
    </row>
    <row r="840" spans="3:4" ht="12.75">
      <c r="C840" s="196">
        <v>11801</v>
      </c>
      <c r="D840" s="196"/>
    </row>
    <row r="841" spans="1:17" ht="12.75">
      <c r="A841" s="3" t="s">
        <v>466</v>
      </c>
      <c r="B841" s="11" t="s">
        <v>467</v>
      </c>
      <c r="C841" s="36">
        <v>511000</v>
      </c>
      <c r="E841" s="3" t="s">
        <v>2938</v>
      </c>
      <c r="F841" s="19">
        <v>106797</v>
      </c>
      <c r="G841" s="19">
        <v>112977.08</v>
      </c>
      <c r="H841" s="19">
        <v>116309.44</v>
      </c>
      <c r="I841" s="8">
        <f>117215.51</f>
        <v>117215.51</v>
      </c>
      <c r="J841" s="9">
        <v>127792.8</v>
      </c>
      <c r="K841" s="10">
        <v>129048.79</v>
      </c>
      <c r="L841" s="9">
        <v>122051.84</v>
      </c>
      <c r="M841" s="9">
        <v>97977.06</v>
      </c>
      <c r="N841" s="9">
        <v>132254.34</v>
      </c>
      <c r="O841" s="9">
        <v>134484</v>
      </c>
      <c r="P841" s="9">
        <v>141303</v>
      </c>
      <c r="Q841" s="9">
        <v>145700</v>
      </c>
    </row>
    <row r="842" spans="1:17" ht="12.75">
      <c r="A842" s="3" t="s">
        <v>470</v>
      </c>
      <c r="B842" s="11" t="s">
        <v>471</v>
      </c>
      <c r="C842" s="36">
        <v>514800</v>
      </c>
      <c r="E842" s="3" t="s">
        <v>2288</v>
      </c>
      <c r="F842" s="19">
        <v>275</v>
      </c>
      <c r="G842" s="19">
        <v>275</v>
      </c>
      <c r="H842" s="19">
        <v>275</v>
      </c>
      <c r="I842" s="8">
        <v>275</v>
      </c>
      <c r="J842" s="9">
        <v>275</v>
      </c>
      <c r="K842" s="10">
        <v>325</v>
      </c>
      <c r="L842" s="9">
        <v>325</v>
      </c>
      <c r="M842" s="9">
        <v>325</v>
      </c>
      <c r="N842" s="9">
        <v>425</v>
      </c>
      <c r="O842" s="9">
        <v>375</v>
      </c>
      <c r="P842" s="9">
        <v>375</v>
      </c>
      <c r="Q842" s="9">
        <v>375</v>
      </c>
    </row>
    <row r="843" spans="1:17" ht="12.75">
      <c r="A843" s="3" t="s">
        <v>476</v>
      </c>
      <c r="B843" s="11" t="s">
        <v>477</v>
      </c>
      <c r="C843" s="36">
        <v>517000</v>
      </c>
      <c r="E843" s="3" t="s">
        <v>2222</v>
      </c>
      <c r="F843" s="19">
        <v>13887</v>
      </c>
      <c r="G843" s="19">
        <v>14048</v>
      </c>
      <c r="H843" s="19">
        <v>22132</v>
      </c>
      <c r="I843" s="8">
        <v>15706</v>
      </c>
      <c r="J843" s="9">
        <v>21452</v>
      </c>
      <c r="K843" s="10">
        <v>26014</v>
      </c>
      <c r="L843" s="9">
        <v>33604</v>
      </c>
      <c r="M843" s="9">
        <v>32969.23</v>
      </c>
      <c r="N843" s="9">
        <v>12989</v>
      </c>
      <c r="O843" s="9">
        <v>29283</v>
      </c>
      <c r="P843" s="9">
        <v>29283</v>
      </c>
      <c r="Q843" s="9">
        <v>31266</v>
      </c>
    </row>
    <row r="844" spans="1:17" ht="12.75">
      <c r="A844" s="3" t="s">
        <v>472</v>
      </c>
      <c r="B844" s="11" t="s">
        <v>473</v>
      </c>
      <c r="C844" s="36">
        <v>517200</v>
      </c>
      <c r="E844" s="3" t="s">
        <v>2683</v>
      </c>
      <c r="F844" s="19">
        <v>199</v>
      </c>
      <c r="G844" s="19">
        <v>149</v>
      </c>
      <c r="H844" s="19">
        <v>149</v>
      </c>
      <c r="I844" s="8">
        <v>149</v>
      </c>
      <c r="J844" s="9">
        <v>149</v>
      </c>
      <c r="K844" s="10">
        <v>149</v>
      </c>
      <c r="L844" s="9">
        <v>149</v>
      </c>
      <c r="M844" s="9">
        <v>609</v>
      </c>
      <c r="N844" s="9">
        <v>584</v>
      </c>
      <c r="O844" s="9">
        <v>554</v>
      </c>
      <c r="P844" s="9">
        <v>554</v>
      </c>
      <c r="Q844" s="9">
        <v>582</v>
      </c>
    </row>
    <row r="845" spans="1:15" ht="12.75" hidden="1">
      <c r="A845" s="3" t="s">
        <v>474</v>
      </c>
      <c r="B845" s="11" t="s">
        <v>475</v>
      </c>
      <c r="E845" s="3" t="s">
        <v>2219</v>
      </c>
      <c r="F845" s="19">
        <v>48</v>
      </c>
      <c r="G845" s="19">
        <v>48</v>
      </c>
      <c r="H845" s="19">
        <v>48</v>
      </c>
      <c r="I845" s="8">
        <v>0</v>
      </c>
      <c r="J845" s="9">
        <v>0</v>
      </c>
      <c r="K845" s="10">
        <v>0</v>
      </c>
      <c r="L845" s="9">
        <v>0</v>
      </c>
      <c r="M845" s="9">
        <v>0</v>
      </c>
      <c r="N845" s="9">
        <v>0</v>
      </c>
      <c r="O845" s="9">
        <v>0</v>
      </c>
    </row>
    <row r="846" spans="1:17" ht="12.75">
      <c r="A846" s="3" t="s">
        <v>478</v>
      </c>
      <c r="B846" s="11" t="s">
        <v>479</v>
      </c>
      <c r="C846" s="36">
        <v>517800</v>
      </c>
      <c r="E846" s="3" t="s">
        <v>2298</v>
      </c>
      <c r="F846" s="19">
        <v>271</v>
      </c>
      <c r="G846" s="19">
        <v>361</v>
      </c>
      <c r="H846" s="19">
        <v>409</v>
      </c>
      <c r="I846" s="8">
        <v>480</v>
      </c>
      <c r="J846" s="9">
        <v>480</v>
      </c>
      <c r="K846" s="10">
        <v>510</v>
      </c>
      <c r="L846" s="9">
        <v>510</v>
      </c>
      <c r="M846" s="9">
        <v>1302</v>
      </c>
      <c r="N846" s="9">
        <v>1302</v>
      </c>
      <c r="O846" s="9">
        <v>1302</v>
      </c>
      <c r="P846" s="9">
        <v>1302</v>
      </c>
      <c r="Q846" s="9">
        <v>2404</v>
      </c>
    </row>
    <row r="847" spans="1:16" ht="12.75">
      <c r="A847" s="3" t="s">
        <v>468</v>
      </c>
      <c r="B847" s="11" t="s">
        <v>469</v>
      </c>
      <c r="C847" s="36">
        <v>519800</v>
      </c>
      <c r="E847" s="3" t="s">
        <v>321</v>
      </c>
      <c r="F847" s="19">
        <v>0</v>
      </c>
      <c r="G847" s="19">
        <v>88</v>
      </c>
      <c r="H847" s="19">
        <v>0</v>
      </c>
      <c r="I847" s="8">
        <v>150</v>
      </c>
      <c r="J847" s="9">
        <v>0</v>
      </c>
      <c r="K847" s="10">
        <v>0</v>
      </c>
      <c r="L847" s="9">
        <v>0</v>
      </c>
      <c r="N847" s="9">
        <v>0</v>
      </c>
      <c r="O847" s="9">
        <v>600</v>
      </c>
      <c r="P847" s="9">
        <v>600</v>
      </c>
    </row>
    <row r="848" spans="5:18" ht="12.75">
      <c r="E848" s="20" t="s">
        <v>2187</v>
      </c>
      <c r="F848" s="21">
        <f aca="true" t="shared" si="182" ref="F848:L848">SUM(F841:F847)</f>
        <v>121477</v>
      </c>
      <c r="G848" s="21">
        <f t="shared" si="182"/>
        <v>127946.08</v>
      </c>
      <c r="H848" s="21">
        <f t="shared" si="182"/>
        <v>139322.44</v>
      </c>
      <c r="I848" s="22">
        <f t="shared" si="182"/>
        <v>133975.51</v>
      </c>
      <c r="J848" s="23">
        <f t="shared" si="182"/>
        <v>150148.8</v>
      </c>
      <c r="K848" s="23">
        <f t="shared" si="182"/>
        <v>156046.78999999998</v>
      </c>
      <c r="L848" s="7">
        <f t="shared" si="182"/>
        <v>156639.84</v>
      </c>
      <c r="M848" s="7">
        <f aca="true" t="shared" si="183" ref="M848:R848">SUM(M841:M847)</f>
        <v>133182.29</v>
      </c>
      <c r="N848" s="7">
        <f t="shared" si="183"/>
        <v>147554.34</v>
      </c>
      <c r="O848" s="7">
        <f t="shared" si="183"/>
        <v>166598</v>
      </c>
      <c r="P848" s="7">
        <f t="shared" si="183"/>
        <v>173417</v>
      </c>
      <c r="Q848" s="7">
        <f t="shared" si="183"/>
        <v>180327</v>
      </c>
      <c r="R848" s="7">
        <f t="shared" si="183"/>
        <v>0</v>
      </c>
    </row>
    <row r="849" spans="3:4" ht="12.75">
      <c r="C849" s="196">
        <v>11802</v>
      </c>
      <c r="D849" s="196"/>
    </row>
    <row r="850" spans="1:17" ht="12.75">
      <c r="A850" s="3" t="s">
        <v>480</v>
      </c>
      <c r="B850" s="11" t="s">
        <v>481</v>
      </c>
      <c r="C850" s="36">
        <v>524500</v>
      </c>
      <c r="E850" s="3" t="s">
        <v>482</v>
      </c>
      <c r="F850" s="19">
        <v>1617</v>
      </c>
      <c r="G850" s="19">
        <v>1364.13</v>
      </c>
      <c r="H850" s="19">
        <v>7429.48</v>
      </c>
      <c r="I850" s="8">
        <v>1456.13</v>
      </c>
      <c r="J850" s="10">
        <v>890.25</v>
      </c>
      <c r="K850" s="10">
        <v>4527.78</v>
      </c>
      <c r="L850" s="9">
        <v>3933.6</v>
      </c>
      <c r="M850" s="9">
        <v>4451.35</v>
      </c>
      <c r="N850" s="9">
        <v>4382.28</v>
      </c>
      <c r="O850" s="9">
        <v>4879</v>
      </c>
      <c r="P850" s="9">
        <v>4879</v>
      </c>
      <c r="Q850" s="9">
        <v>5625</v>
      </c>
    </row>
    <row r="851" spans="1:17" ht="12.75">
      <c r="A851" s="3" t="s">
        <v>483</v>
      </c>
      <c r="B851" s="11" t="s">
        <v>484</v>
      </c>
      <c r="C851" s="36">
        <v>530000</v>
      </c>
      <c r="E851" s="3" t="s">
        <v>2379</v>
      </c>
      <c r="F851" s="19">
        <v>2757</v>
      </c>
      <c r="G851" s="19">
        <v>9983.87</v>
      </c>
      <c r="H851" s="19">
        <v>13880.03</v>
      </c>
      <c r="I851" s="8">
        <v>11991.56</v>
      </c>
      <c r="J851" s="9">
        <v>4946.01</v>
      </c>
      <c r="K851" s="10">
        <v>34336.85</v>
      </c>
      <c r="L851" s="9">
        <v>15031.3</v>
      </c>
      <c r="M851" s="9">
        <v>25569.87</v>
      </c>
      <c r="N851" s="9">
        <v>25804.33</v>
      </c>
      <c r="O851" s="9">
        <v>14250</v>
      </c>
      <c r="P851" s="9">
        <v>14250</v>
      </c>
      <c r="Q851" s="9">
        <v>15000</v>
      </c>
    </row>
    <row r="852" spans="1:17" ht="12.75">
      <c r="A852" s="3" t="s">
        <v>489</v>
      </c>
      <c r="B852" s="11" t="s">
        <v>490</v>
      </c>
      <c r="C852" s="36">
        <v>531900</v>
      </c>
      <c r="E852" s="3" t="s">
        <v>2198</v>
      </c>
      <c r="F852" s="19">
        <v>0</v>
      </c>
      <c r="G852" s="19">
        <v>300</v>
      </c>
      <c r="H852" s="19">
        <v>0</v>
      </c>
      <c r="I852" s="8">
        <v>0</v>
      </c>
      <c r="J852" s="9">
        <v>53.76</v>
      </c>
      <c r="K852" s="10">
        <v>262.48</v>
      </c>
      <c r="L852" s="9">
        <v>240.13</v>
      </c>
      <c r="M852" s="9">
        <v>202.36</v>
      </c>
      <c r="N852" s="9">
        <v>300</v>
      </c>
      <c r="O852" s="9">
        <v>300</v>
      </c>
      <c r="P852" s="9">
        <v>300</v>
      </c>
      <c r="Q852" s="9">
        <v>375</v>
      </c>
    </row>
    <row r="853" spans="1:17" ht="12.75">
      <c r="A853" s="3" t="s">
        <v>485</v>
      </c>
      <c r="B853" s="11" t="s">
        <v>486</v>
      </c>
      <c r="C853" s="36">
        <v>534100</v>
      </c>
      <c r="E853" s="3" t="s">
        <v>2470</v>
      </c>
      <c r="F853" s="19">
        <v>894</v>
      </c>
      <c r="G853" s="19">
        <v>1846.56</v>
      </c>
      <c r="H853" s="19">
        <v>2054.2</v>
      </c>
      <c r="I853" s="8">
        <v>1818.95</v>
      </c>
      <c r="J853" s="9">
        <v>1802.37</v>
      </c>
      <c r="K853" s="10">
        <v>1931.31</v>
      </c>
      <c r="L853" s="9">
        <v>1915.91</v>
      </c>
      <c r="M853" s="9">
        <v>1896.79</v>
      </c>
      <c r="N853" s="9">
        <v>1377.18</v>
      </c>
      <c r="O853" s="9">
        <f>2220+526</f>
        <v>2746</v>
      </c>
      <c r="P853" s="9">
        <v>2746</v>
      </c>
      <c r="Q853" s="9">
        <v>2300</v>
      </c>
    </row>
    <row r="854" spans="1:17" ht="12.75">
      <c r="A854" s="3" t="s">
        <v>487</v>
      </c>
      <c r="B854" s="11" t="s">
        <v>488</v>
      </c>
      <c r="C854" s="36">
        <v>534600</v>
      </c>
      <c r="E854" s="3" t="s">
        <v>2473</v>
      </c>
      <c r="F854" s="19">
        <v>200</v>
      </c>
      <c r="G854" s="19">
        <v>9404.56</v>
      </c>
      <c r="H854" s="19">
        <v>461</v>
      </c>
      <c r="I854" s="8">
        <v>458.99</v>
      </c>
      <c r="J854" s="9">
        <v>419.97</v>
      </c>
      <c r="K854" s="10">
        <v>257.82</v>
      </c>
      <c r="L854" s="9">
        <v>200.91</v>
      </c>
      <c r="M854" s="9">
        <v>245.68</v>
      </c>
      <c r="N854" s="9">
        <v>484.8</v>
      </c>
      <c r="O854" s="9">
        <v>200</v>
      </c>
      <c r="P854" s="9">
        <v>200</v>
      </c>
      <c r="Q854" s="9">
        <v>300</v>
      </c>
    </row>
    <row r="855" spans="1:17" ht="12.75">
      <c r="A855" s="3" t="s">
        <v>492</v>
      </c>
      <c r="B855" s="11" t="s">
        <v>493</v>
      </c>
      <c r="C855" s="36">
        <v>542100</v>
      </c>
      <c r="E855" s="3" t="s">
        <v>2335</v>
      </c>
      <c r="F855" s="19">
        <v>500</v>
      </c>
      <c r="G855" s="19">
        <v>499.03</v>
      </c>
      <c r="H855" s="19">
        <v>495.71</v>
      </c>
      <c r="I855" s="8">
        <v>494.87</v>
      </c>
      <c r="J855" s="10">
        <v>486.26</v>
      </c>
      <c r="K855" s="10">
        <v>416.31</v>
      </c>
      <c r="L855" s="9">
        <v>433.66</v>
      </c>
      <c r="M855" s="9">
        <v>386.23</v>
      </c>
      <c r="N855" s="9">
        <v>455.65</v>
      </c>
      <c r="O855" s="9">
        <v>500</v>
      </c>
      <c r="P855" s="9">
        <v>500</v>
      </c>
      <c r="Q855" s="9">
        <v>600</v>
      </c>
    </row>
    <row r="856" spans="1:17" ht="12.75">
      <c r="A856" s="3" t="s">
        <v>494</v>
      </c>
      <c r="B856" s="11" t="s">
        <v>495</v>
      </c>
      <c r="C856" s="36">
        <v>542100</v>
      </c>
      <c r="E856" s="3" t="s">
        <v>2614</v>
      </c>
      <c r="F856" s="19">
        <v>139</v>
      </c>
      <c r="G856" s="19">
        <v>222</v>
      </c>
      <c r="H856" s="19">
        <v>381.26</v>
      </c>
      <c r="I856" s="8">
        <v>1127.35</v>
      </c>
      <c r="J856" s="9">
        <v>860.54</v>
      </c>
      <c r="K856" s="10">
        <v>961.58</v>
      </c>
      <c r="L856" s="9">
        <v>884.35</v>
      </c>
      <c r="M856" s="9">
        <v>920.88</v>
      </c>
      <c r="N856" s="9">
        <v>1252.62</v>
      </c>
      <c r="O856" s="9">
        <v>1300</v>
      </c>
      <c r="P856" s="9">
        <v>1300</v>
      </c>
      <c r="Q856" s="9">
        <v>1638</v>
      </c>
    </row>
    <row r="857" spans="2:17" ht="12.75">
      <c r="B857" s="50" t="s">
        <v>502</v>
      </c>
      <c r="C857" s="49">
        <v>548000</v>
      </c>
      <c r="D857" s="49"/>
      <c r="E857" s="3" t="s">
        <v>503</v>
      </c>
      <c r="F857" s="19">
        <v>0</v>
      </c>
      <c r="G857" s="19">
        <v>0</v>
      </c>
      <c r="H857" s="19">
        <v>0</v>
      </c>
      <c r="I857" s="8">
        <v>1149.8</v>
      </c>
      <c r="J857" s="9">
        <v>1079.34</v>
      </c>
      <c r="K857" s="10">
        <v>1067.93</v>
      </c>
      <c r="L857" s="9">
        <v>1068.47</v>
      </c>
      <c r="M857" s="9">
        <v>1148.4</v>
      </c>
      <c r="N857" s="9">
        <v>1265.39</v>
      </c>
      <c r="O857" s="9">
        <v>1825</v>
      </c>
      <c r="P857" s="9">
        <v>1825</v>
      </c>
      <c r="Q857" s="9">
        <v>1825</v>
      </c>
    </row>
    <row r="858" spans="1:17" ht="12.75">
      <c r="A858" s="3" t="s">
        <v>499</v>
      </c>
      <c r="B858" s="11" t="s">
        <v>500</v>
      </c>
      <c r="C858" s="36">
        <v>552900</v>
      </c>
      <c r="E858" s="3" t="s">
        <v>501</v>
      </c>
      <c r="F858" s="19">
        <v>122</v>
      </c>
      <c r="G858" s="19">
        <v>100</v>
      </c>
      <c r="H858" s="19">
        <v>78.5</v>
      </c>
      <c r="I858" s="8">
        <v>82.26</v>
      </c>
      <c r="J858" s="9">
        <v>97.36</v>
      </c>
      <c r="K858" s="10">
        <v>48</v>
      </c>
      <c r="L858" s="9">
        <v>63.45</v>
      </c>
      <c r="N858" s="9">
        <v>100</v>
      </c>
      <c r="O858" s="9">
        <v>100</v>
      </c>
      <c r="P858" s="9">
        <v>100</v>
      </c>
      <c r="Q858" s="9">
        <v>100</v>
      </c>
    </row>
    <row r="859" spans="1:15" ht="12.75" hidden="1">
      <c r="A859" s="3" t="s">
        <v>496</v>
      </c>
      <c r="B859" s="11" t="s">
        <v>497</v>
      </c>
      <c r="E859" s="3" t="s">
        <v>498</v>
      </c>
      <c r="F859" s="19">
        <v>0</v>
      </c>
      <c r="G859" s="19">
        <v>0</v>
      </c>
      <c r="H859" s="19">
        <v>238.99</v>
      </c>
      <c r="I859" s="8">
        <v>970</v>
      </c>
      <c r="J859" s="9">
        <v>816.86</v>
      </c>
      <c r="K859" s="10">
        <v>0</v>
      </c>
      <c r="L859" s="9">
        <v>0</v>
      </c>
      <c r="M859" s="9">
        <v>0</v>
      </c>
      <c r="N859" s="9">
        <v>0</v>
      </c>
      <c r="O859" s="9">
        <v>0</v>
      </c>
    </row>
    <row r="860" spans="1:17" ht="12.75">
      <c r="A860" s="3" t="s">
        <v>504</v>
      </c>
      <c r="B860" s="11" t="s">
        <v>505</v>
      </c>
      <c r="C860" s="36">
        <v>571000</v>
      </c>
      <c r="E860" s="3" t="s">
        <v>2389</v>
      </c>
      <c r="F860" s="19">
        <v>154</v>
      </c>
      <c r="G860" s="19">
        <v>565</v>
      </c>
      <c r="H860" s="19">
        <v>138</v>
      </c>
      <c r="I860" s="8">
        <v>683.6</v>
      </c>
      <c r="J860" s="10">
        <v>530</v>
      </c>
      <c r="K860" s="10">
        <v>799.38</v>
      </c>
      <c r="L860" s="9">
        <v>225</v>
      </c>
      <c r="M860" s="9">
        <v>735</v>
      </c>
      <c r="N860" s="9">
        <v>644.49</v>
      </c>
      <c r="O860" s="9">
        <v>775</v>
      </c>
      <c r="P860" s="9">
        <v>775</v>
      </c>
      <c r="Q860" s="9">
        <v>780</v>
      </c>
    </row>
    <row r="861" spans="1:17" ht="12.75">
      <c r="A861" s="3" t="s">
        <v>508</v>
      </c>
      <c r="B861" s="11" t="s">
        <v>524</v>
      </c>
      <c r="C861" s="36">
        <v>573000</v>
      </c>
      <c r="E861" s="3" t="s">
        <v>3001</v>
      </c>
      <c r="F861" s="19">
        <v>679</v>
      </c>
      <c r="G861" s="19">
        <v>1055.5</v>
      </c>
      <c r="H861" s="19">
        <v>869</v>
      </c>
      <c r="I861" s="8">
        <v>1115.5</v>
      </c>
      <c r="J861" s="9">
        <v>1388.25</v>
      </c>
      <c r="K861" s="10">
        <v>1457.75</v>
      </c>
      <c r="L861" s="9">
        <v>1448.75</v>
      </c>
      <c r="M861" s="9">
        <v>635</v>
      </c>
      <c r="N861" s="9">
        <v>825</v>
      </c>
      <c r="O861" s="9">
        <v>1258</v>
      </c>
      <c r="P861" s="9">
        <v>1258</v>
      </c>
      <c r="Q861" s="9">
        <v>1258</v>
      </c>
    </row>
    <row r="862" spans="2:17" ht="12.75">
      <c r="B862" s="11" t="s">
        <v>3223</v>
      </c>
      <c r="E862" s="3" t="s">
        <v>2629</v>
      </c>
      <c r="K862" s="10"/>
      <c r="O862" s="9">
        <v>0</v>
      </c>
      <c r="Q862" s="9">
        <v>1500</v>
      </c>
    </row>
    <row r="863" spans="1:14" ht="12.75" hidden="1">
      <c r="A863" s="3" t="s">
        <v>506</v>
      </c>
      <c r="B863" s="11" t="s">
        <v>507</v>
      </c>
      <c r="E863" s="3" t="s">
        <v>2350</v>
      </c>
      <c r="F863" s="19">
        <v>1200</v>
      </c>
      <c r="G863" s="19">
        <v>1200</v>
      </c>
      <c r="H863" s="19">
        <v>1055</v>
      </c>
      <c r="I863" s="8">
        <v>0</v>
      </c>
      <c r="J863" s="9">
        <v>0</v>
      </c>
      <c r="K863" s="10">
        <v>0</v>
      </c>
      <c r="L863" s="9">
        <v>0</v>
      </c>
      <c r="M863" s="9">
        <v>0</v>
      </c>
      <c r="N863" s="9">
        <v>0</v>
      </c>
    </row>
    <row r="864" spans="2:15" ht="12.75" hidden="1">
      <c r="B864" s="11" t="s">
        <v>3223</v>
      </c>
      <c r="E864" s="3" t="s">
        <v>2631</v>
      </c>
      <c r="K864" s="10"/>
      <c r="O864" s="9">
        <v>0</v>
      </c>
    </row>
    <row r="865" spans="5:17" ht="12.75">
      <c r="E865" s="3" t="s">
        <v>2630</v>
      </c>
      <c r="K865" s="10"/>
      <c r="O865" s="9">
        <v>0</v>
      </c>
      <c r="Q865" s="9">
        <v>500</v>
      </c>
    </row>
    <row r="866" spans="5:18" ht="12.75">
      <c r="E866" s="20" t="s">
        <v>2274</v>
      </c>
      <c r="F866" s="25">
        <f aca="true" t="shared" si="184" ref="F866:K866">SUM(F862:F865)</f>
        <v>1200</v>
      </c>
      <c r="G866" s="25">
        <f t="shared" si="184"/>
        <v>1200</v>
      </c>
      <c r="H866" s="25">
        <f t="shared" si="184"/>
        <v>1055</v>
      </c>
      <c r="I866" s="22">
        <f t="shared" si="184"/>
        <v>0</v>
      </c>
      <c r="J866" s="23">
        <f t="shared" si="184"/>
        <v>0</v>
      </c>
      <c r="K866" s="23">
        <f t="shared" si="184"/>
        <v>0</v>
      </c>
      <c r="L866" s="7">
        <f>SUM(L850:L865)</f>
        <v>25445.53</v>
      </c>
      <c r="M866" s="7">
        <f aca="true" t="shared" si="185" ref="M866:R866">SUM(M850:M865)</f>
        <v>36191.560000000005</v>
      </c>
      <c r="N866" s="7">
        <f t="shared" si="185"/>
        <v>36891.74</v>
      </c>
      <c r="O866" s="7">
        <f t="shared" si="185"/>
        <v>28133</v>
      </c>
      <c r="P866" s="7">
        <f t="shared" si="185"/>
        <v>28133</v>
      </c>
      <c r="Q866" s="7">
        <f t="shared" si="185"/>
        <v>31801</v>
      </c>
      <c r="R866" s="7">
        <f t="shared" si="185"/>
        <v>0</v>
      </c>
    </row>
    <row r="867" spans="3:5" ht="12.75">
      <c r="C867" s="196">
        <v>11803</v>
      </c>
      <c r="E867" s="20"/>
    </row>
    <row r="868" spans="1:18" ht="12.75" hidden="1">
      <c r="A868" s="3" t="s">
        <v>525</v>
      </c>
      <c r="B868" s="11" t="s">
        <v>526</v>
      </c>
      <c r="E868" s="3" t="s">
        <v>2276</v>
      </c>
      <c r="F868" s="19">
        <v>0</v>
      </c>
      <c r="G868" s="19">
        <v>7524.6</v>
      </c>
      <c r="H868" s="19">
        <v>5513</v>
      </c>
      <c r="I868" s="8">
        <v>1010</v>
      </c>
      <c r="J868" s="10">
        <v>22745.12</v>
      </c>
      <c r="K868" s="10">
        <v>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v>0</v>
      </c>
      <c r="R868" s="9">
        <v>0</v>
      </c>
    </row>
    <row r="869" spans="1:18" ht="12.75" hidden="1">
      <c r="A869" s="3" t="s">
        <v>527</v>
      </c>
      <c r="B869" s="11" t="s">
        <v>528</v>
      </c>
      <c r="E869" s="3" t="s">
        <v>529</v>
      </c>
      <c r="F869" s="19">
        <v>2000</v>
      </c>
      <c r="G869" s="19">
        <v>35</v>
      </c>
      <c r="H869" s="19">
        <v>276.95</v>
      </c>
      <c r="I869" s="8">
        <v>0</v>
      </c>
      <c r="J869" s="9">
        <v>0</v>
      </c>
      <c r="K869" s="10">
        <v>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v>0</v>
      </c>
      <c r="R869" s="9">
        <v>0</v>
      </c>
    </row>
    <row r="870" spans="5:18" ht="12.75" hidden="1">
      <c r="E870" s="4" t="s">
        <v>2277</v>
      </c>
      <c r="F870" s="59">
        <f aca="true" t="shared" si="186" ref="F870:L870">SUM(F868:F869)</f>
        <v>2000</v>
      </c>
      <c r="G870" s="59">
        <f t="shared" si="186"/>
        <v>7559.6</v>
      </c>
      <c r="H870" s="59">
        <f t="shared" si="186"/>
        <v>5789.95</v>
      </c>
      <c r="I870" s="22">
        <f t="shared" si="186"/>
        <v>1010</v>
      </c>
      <c r="J870" s="23">
        <f t="shared" si="186"/>
        <v>22745.12</v>
      </c>
      <c r="K870" s="23">
        <f t="shared" si="186"/>
        <v>0</v>
      </c>
      <c r="L870" s="7">
        <f t="shared" si="186"/>
        <v>0</v>
      </c>
      <c r="M870" s="7">
        <f aca="true" t="shared" si="187" ref="M870:R870">SUM(M868:M869)</f>
        <v>0</v>
      </c>
      <c r="N870" s="7">
        <f t="shared" si="187"/>
        <v>0</v>
      </c>
      <c r="O870" s="7">
        <f t="shared" si="187"/>
        <v>0</v>
      </c>
      <c r="P870" s="7">
        <f t="shared" si="187"/>
        <v>0</v>
      </c>
      <c r="Q870" s="7">
        <f t="shared" si="187"/>
        <v>0</v>
      </c>
      <c r="R870" s="7">
        <f t="shared" si="187"/>
        <v>0</v>
      </c>
    </row>
    <row r="871" spans="2:18" ht="12.75">
      <c r="B871" s="11">
        <v>5930</v>
      </c>
      <c r="E871" s="61" t="s">
        <v>2276</v>
      </c>
      <c r="F871" s="94"/>
      <c r="G871" s="94"/>
      <c r="H871" s="94"/>
      <c r="I871" s="57"/>
      <c r="J871" s="28"/>
      <c r="K871" s="28"/>
      <c r="L871" s="32"/>
      <c r="M871" s="9">
        <v>2995</v>
      </c>
      <c r="N871" s="32"/>
      <c r="O871" s="32"/>
      <c r="P871" s="32"/>
      <c r="Q871" s="9">
        <v>16200</v>
      </c>
      <c r="R871" s="32"/>
    </row>
    <row r="872" spans="5:17" ht="15">
      <c r="E872" s="4" t="s">
        <v>2277</v>
      </c>
      <c r="M872" s="9">
        <f>SUM(M871)</f>
        <v>2995</v>
      </c>
      <c r="Q872" s="46">
        <f>SUM(Q871)</f>
        <v>16200</v>
      </c>
    </row>
    <row r="873" spans="5:18" ht="12.75">
      <c r="E873" s="2" t="s">
        <v>530</v>
      </c>
      <c r="F873" s="31">
        <f aca="true" t="shared" si="188" ref="F873:K873">SUM(F841:F872)/2</f>
        <v>128208</v>
      </c>
      <c r="G873" s="31">
        <f t="shared" si="188"/>
        <v>149376.005</v>
      </c>
      <c r="H873" s="31">
        <f t="shared" si="188"/>
        <v>159180.47500000003</v>
      </c>
      <c r="I873" s="28">
        <f t="shared" si="188"/>
        <v>145660.01499999998</v>
      </c>
      <c r="J873" s="28">
        <f t="shared" si="188"/>
        <v>179579.40499999997</v>
      </c>
      <c r="K873" s="28">
        <f t="shared" si="188"/>
        <v>179080.38499999998</v>
      </c>
      <c r="L873" s="32">
        <f>SUM(L841:L872)/2</f>
        <v>182085.36999999994</v>
      </c>
      <c r="M873" s="32">
        <f aca="true" t="shared" si="189" ref="M873:R873">SUM(M841:M872)/2</f>
        <v>172368.84999999998</v>
      </c>
      <c r="N873" s="32">
        <f t="shared" si="189"/>
        <v>184446.08000000002</v>
      </c>
      <c r="O873" s="32">
        <f t="shared" si="189"/>
        <v>194731</v>
      </c>
      <c r="P873" s="32">
        <f t="shared" si="189"/>
        <v>201550</v>
      </c>
      <c r="Q873" s="32">
        <f t="shared" si="189"/>
        <v>228328</v>
      </c>
      <c r="R873" s="32">
        <f t="shared" si="189"/>
        <v>0</v>
      </c>
    </row>
    <row r="874" spans="5:8" ht="12.75">
      <c r="E874" s="2"/>
      <c r="F874" s="31"/>
      <c r="G874" s="31"/>
      <c r="H874" s="31"/>
    </row>
    <row r="875" spans="1:10" ht="12.75">
      <c r="A875" s="3" t="s">
        <v>2180</v>
      </c>
      <c r="C875" s="196">
        <v>11751</v>
      </c>
      <c r="D875" s="196"/>
      <c r="E875" s="163" t="s">
        <v>531</v>
      </c>
      <c r="J875" s="28"/>
    </row>
    <row r="876" spans="1:17" ht="12.75">
      <c r="A876" s="3" t="s">
        <v>532</v>
      </c>
      <c r="B876" s="11" t="s">
        <v>533</v>
      </c>
      <c r="C876" s="36">
        <v>511000</v>
      </c>
      <c r="E876" s="3" t="s">
        <v>534</v>
      </c>
      <c r="F876" s="19">
        <v>40932</v>
      </c>
      <c r="G876" s="19">
        <v>44357.26</v>
      </c>
      <c r="H876" s="19">
        <v>51434.95</v>
      </c>
      <c r="I876" s="8">
        <f>133136.19</f>
        <v>133136.19</v>
      </c>
      <c r="J876" s="9">
        <v>168256.86</v>
      </c>
      <c r="K876" s="10">
        <v>174820.04</v>
      </c>
      <c r="L876" s="9">
        <v>175997.1</v>
      </c>
      <c r="M876" s="9">
        <v>179018.11</v>
      </c>
      <c r="N876" s="9">
        <v>135912.17</v>
      </c>
      <c r="O876" s="9">
        <v>182150</v>
      </c>
      <c r="P876" s="9">
        <v>182150</v>
      </c>
      <c r="Q876" s="9">
        <v>185116</v>
      </c>
    </row>
    <row r="877" spans="2:14" ht="12.75" hidden="1">
      <c r="B877" s="11">
        <v>5953.3</v>
      </c>
      <c r="C877" s="36">
        <v>514800</v>
      </c>
      <c r="E877" s="34" t="s">
        <v>2288</v>
      </c>
      <c r="K877" s="10"/>
      <c r="N877" s="9">
        <v>0</v>
      </c>
    </row>
    <row r="878" spans="1:17" ht="12.75">
      <c r="A878" s="3" t="s">
        <v>535</v>
      </c>
      <c r="B878" s="11" t="s">
        <v>536</v>
      </c>
      <c r="C878" s="36">
        <v>517200</v>
      </c>
      <c r="E878" s="3" t="s">
        <v>2291</v>
      </c>
      <c r="F878" s="19">
        <v>0</v>
      </c>
      <c r="G878" s="19">
        <v>0</v>
      </c>
      <c r="H878" s="19">
        <v>0</v>
      </c>
      <c r="I878" s="8">
        <v>2624</v>
      </c>
      <c r="J878" s="9">
        <v>0</v>
      </c>
      <c r="K878" s="10">
        <v>0</v>
      </c>
      <c r="L878" s="9">
        <v>0</v>
      </c>
      <c r="M878" s="9">
        <v>815</v>
      </c>
      <c r="N878" s="9">
        <v>780</v>
      </c>
      <c r="O878" s="9">
        <v>741</v>
      </c>
      <c r="P878" s="9">
        <v>741</v>
      </c>
      <c r="Q878" s="9">
        <v>778</v>
      </c>
    </row>
    <row r="879" spans="1:17" ht="12.75">
      <c r="A879" s="3" t="s">
        <v>537</v>
      </c>
      <c r="B879" s="11" t="s">
        <v>538</v>
      </c>
      <c r="C879" s="36">
        <v>517000</v>
      </c>
      <c r="E879" s="3" t="s">
        <v>2222</v>
      </c>
      <c r="F879" s="19">
        <v>1863</v>
      </c>
      <c r="G879" s="19">
        <v>7754</v>
      </c>
      <c r="H879" s="19">
        <v>2285</v>
      </c>
      <c r="I879" s="8">
        <v>630</v>
      </c>
      <c r="J879" s="9">
        <v>11684</v>
      </c>
      <c r="K879" s="10">
        <v>13216</v>
      </c>
      <c r="L879" s="9">
        <v>15319</v>
      </c>
      <c r="M879" s="9">
        <v>15030.37</v>
      </c>
      <c r="N879" s="9">
        <v>17765</v>
      </c>
      <c r="O879" s="9">
        <v>5404</v>
      </c>
      <c r="P879" s="9">
        <v>5404</v>
      </c>
      <c r="Q879" s="9">
        <v>5770</v>
      </c>
    </row>
    <row r="880" spans="1:17" ht="12.75">
      <c r="A880" s="3" t="s">
        <v>539</v>
      </c>
      <c r="B880" s="11" t="s">
        <v>540</v>
      </c>
      <c r="C880" s="36">
        <v>517800</v>
      </c>
      <c r="E880" s="3" t="s">
        <v>2298</v>
      </c>
      <c r="F880" s="19">
        <v>512</v>
      </c>
      <c r="G880" s="19">
        <v>618</v>
      </c>
      <c r="H880" s="19">
        <v>589</v>
      </c>
      <c r="I880" s="8">
        <v>239.76</v>
      </c>
      <c r="J880" s="9">
        <v>1980</v>
      </c>
      <c r="K880" s="10">
        <v>2180</v>
      </c>
      <c r="L880" s="9">
        <v>2180</v>
      </c>
      <c r="M880" s="9">
        <v>2256</v>
      </c>
      <c r="N880" s="9">
        <v>2050</v>
      </c>
      <c r="O880" s="9">
        <v>2600</v>
      </c>
      <c r="P880" s="9">
        <v>2600</v>
      </c>
      <c r="Q880" s="9">
        <v>2546</v>
      </c>
    </row>
    <row r="881" spans="2:16" ht="12.75">
      <c r="B881" s="11">
        <v>5953.1</v>
      </c>
      <c r="C881" s="36">
        <v>519800</v>
      </c>
      <c r="E881" s="34" t="s">
        <v>321</v>
      </c>
      <c r="K881" s="10">
        <v>0</v>
      </c>
      <c r="L881" s="9">
        <v>0</v>
      </c>
      <c r="N881" s="9">
        <v>0</v>
      </c>
      <c r="O881" s="9">
        <v>600</v>
      </c>
      <c r="P881" s="9">
        <v>600</v>
      </c>
    </row>
    <row r="882" spans="5:18" ht="12.75">
      <c r="E882" s="20" t="s">
        <v>2187</v>
      </c>
      <c r="F882" s="25">
        <f aca="true" t="shared" si="190" ref="F882:K882">SUM(F876:F881)</f>
        <v>43307</v>
      </c>
      <c r="G882" s="25">
        <f t="shared" si="190"/>
        <v>52729.26</v>
      </c>
      <c r="H882" s="25">
        <f t="shared" si="190"/>
        <v>54308.95</v>
      </c>
      <c r="I882" s="22">
        <f t="shared" si="190"/>
        <v>136629.95</v>
      </c>
      <c r="J882" s="23">
        <f t="shared" si="190"/>
        <v>181920.86</v>
      </c>
      <c r="K882" s="23">
        <f t="shared" si="190"/>
        <v>190216.04</v>
      </c>
      <c r="L882" s="7">
        <f>SUM(L876:L881)</f>
        <v>193496.1</v>
      </c>
      <c r="M882" s="7">
        <f aca="true" t="shared" si="191" ref="M882:R882">SUM(M876:M881)</f>
        <v>197119.47999999998</v>
      </c>
      <c r="N882" s="7">
        <f t="shared" si="191"/>
        <v>156507.17</v>
      </c>
      <c r="O882" s="7">
        <f t="shared" si="191"/>
        <v>191495</v>
      </c>
      <c r="P882" s="7">
        <f t="shared" si="191"/>
        <v>191495</v>
      </c>
      <c r="Q882" s="7">
        <f t="shared" si="191"/>
        <v>194210</v>
      </c>
      <c r="R882" s="7">
        <f t="shared" si="191"/>
        <v>0</v>
      </c>
    </row>
    <row r="883" spans="3:4" ht="12.75">
      <c r="C883" s="196">
        <v>11752</v>
      </c>
      <c r="D883" s="196"/>
    </row>
    <row r="884" spans="1:17" ht="12.75">
      <c r="A884" s="3" t="s">
        <v>541</v>
      </c>
      <c r="B884" s="11" t="s">
        <v>542</v>
      </c>
      <c r="C884" s="36">
        <v>524500</v>
      </c>
      <c r="E884" s="3" t="s">
        <v>543</v>
      </c>
      <c r="F884" s="19">
        <v>49</v>
      </c>
      <c r="G884" s="19">
        <v>0</v>
      </c>
      <c r="H884" s="19">
        <v>0</v>
      </c>
      <c r="I884" s="8">
        <v>12131.12</v>
      </c>
      <c r="J884" s="10">
        <v>0</v>
      </c>
      <c r="K884" s="10">
        <v>97.95</v>
      </c>
      <c r="L884" s="9">
        <v>234.48</v>
      </c>
      <c r="N884" s="9">
        <v>0</v>
      </c>
      <c r="O884" s="9">
        <v>120</v>
      </c>
      <c r="P884" s="9">
        <v>120</v>
      </c>
      <c r="Q884" s="9">
        <v>200</v>
      </c>
    </row>
    <row r="885" spans="1:17" ht="12.75">
      <c r="A885" s="3" t="s">
        <v>544</v>
      </c>
      <c r="B885" s="11" t="s">
        <v>545</v>
      </c>
      <c r="C885" s="36">
        <v>530000</v>
      </c>
      <c r="E885" s="3" t="s">
        <v>2379</v>
      </c>
      <c r="F885" s="19">
        <v>10200</v>
      </c>
      <c r="G885" s="19">
        <v>3704.99</v>
      </c>
      <c r="H885" s="19">
        <v>11730.5</v>
      </c>
      <c r="I885" s="8">
        <v>5432.98</v>
      </c>
      <c r="J885" s="9">
        <v>14769.85</v>
      </c>
      <c r="K885" s="10">
        <v>29088.19</v>
      </c>
      <c r="L885" s="9">
        <v>13791.07</v>
      </c>
      <c r="M885" s="9">
        <v>24819.26</v>
      </c>
      <c r="N885" s="9">
        <v>34689.04</v>
      </c>
      <c r="O885" s="9">
        <v>7500</v>
      </c>
      <c r="P885" s="9">
        <v>7500</v>
      </c>
      <c r="Q885" s="9">
        <v>50000</v>
      </c>
    </row>
    <row r="886" spans="2:14" ht="12.75" hidden="1">
      <c r="B886" s="50" t="s">
        <v>546</v>
      </c>
      <c r="C886" s="49"/>
      <c r="D886" s="49"/>
      <c r="E886" s="3" t="s">
        <v>547</v>
      </c>
      <c r="F886" s="19">
        <v>0</v>
      </c>
      <c r="G886" s="19">
        <v>0</v>
      </c>
      <c r="H886" s="19">
        <v>1965.02</v>
      </c>
      <c r="I886" s="8">
        <v>36488.9</v>
      </c>
      <c r="J886" s="9">
        <v>5118.5</v>
      </c>
      <c r="K886" s="10">
        <v>0</v>
      </c>
      <c r="L886" s="9">
        <v>0</v>
      </c>
      <c r="M886" s="9">
        <v>0</v>
      </c>
      <c r="N886" s="9">
        <v>0</v>
      </c>
    </row>
    <row r="887" spans="2:14" ht="12.75" hidden="1">
      <c r="B887" s="50" t="s">
        <v>2308</v>
      </c>
      <c r="C887" s="49"/>
      <c r="D887" s="49"/>
      <c r="E887" s="3" t="s">
        <v>2309</v>
      </c>
      <c r="J887" s="9">
        <v>16659.01</v>
      </c>
      <c r="K887" s="10">
        <v>3000</v>
      </c>
      <c r="M887" s="9">
        <v>0</v>
      </c>
      <c r="N887" s="9">
        <v>0</v>
      </c>
    </row>
    <row r="888" spans="2:17" ht="12.75">
      <c r="B888" s="40">
        <v>5956.2</v>
      </c>
      <c r="C888" s="36">
        <v>531900</v>
      </c>
      <c r="E888" s="3" t="s">
        <v>2198</v>
      </c>
      <c r="F888" s="19">
        <v>0</v>
      </c>
      <c r="G888" s="19">
        <v>0</v>
      </c>
      <c r="H888" s="19">
        <v>0</v>
      </c>
      <c r="I888" s="8">
        <v>6564.94</v>
      </c>
      <c r="J888" s="9">
        <v>3605.36</v>
      </c>
      <c r="K888" s="10">
        <v>1655</v>
      </c>
      <c r="L888" s="9">
        <v>1772.5</v>
      </c>
      <c r="M888" s="9">
        <v>2330.32</v>
      </c>
      <c r="N888" s="9">
        <v>3120</v>
      </c>
      <c r="O888" s="9">
        <v>2620</v>
      </c>
      <c r="P888" s="9">
        <v>2620</v>
      </c>
      <c r="Q888" s="9">
        <v>3000</v>
      </c>
    </row>
    <row r="889" spans="1:14" ht="12.75" hidden="1">
      <c r="A889" s="3" t="s">
        <v>550</v>
      </c>
      <c r="B889" s="11" t="s">
        <v>551</v>
      </c>
      <c r="E889" s="3" t="s">
        <v>552</v>
      </c>
      <c r="F889" s="19">
        <v>0</v>
      </c>
      <c r="G889" s="19">
        <v>164.51</v>
      </c>
      <c r="H889" s="19">
        <v>0</v>
      </c>
      <c r="I889" s="8">
        <v>0</v>
      </c>
      <c r="J889" s="9">
        <v>0</v>
      </c>
      <c r="K889" s="10">
        <v>0</v>
      </c>
      <c r="L889" s="9">
        <v>0</v>
      </c>
      <c r="M889" s="9">
        <v>0</v>
      </c>
      <c r="N889" s="9">
        <v>0</v>
      </c>
    </row>
    <row r="890" spans="1:17" ht="12.75">
      <c r="A890" s="3" t="s">
        <v>548</v>
      </c>
      <c r="B890" s="11" t="s">
        <v>549</v>
      </c>
      <c r="C890" s="36">
        <v>534700</v>
      </c>
      <c r="E890" s="3" t="s">
        <v>2193</v>
      </c>
      <c r="F890" s="19">
        <v>79</v>
      </c>
      <c r="G890" s="19">
        <v>99.94</v>
      </c>
      <c r="H890" s="19">
        <v>16.49</v>
      </c>
      <c r="I890" s="8">
        <v>696.04</v>
      </c>
      <c r="J890" s="9">
        <v>1898.94</v>
      </c>
      <c r="K890" s="10">
        <v>665.59</v>
      </c>
      <c r="L890" s="9">
        <v>471.18</v>
      </c>
      <c r="M890" s="9">
        <v>392.03</v>
      </c>
      <c r="N890" s="9">
        <v>410.54</v>
      </c>
      <c r="O890" s="9">
        <v>500</v>
      </c>
      <c r="P890" s="9">
        <v>500</v>
      </c>
      <c r="Q890" s="9">
        <v>500</v>
      </c>
    </row>
    <row r="891" spans="1:16" ht="12.75">
      <c r="A891" s="3" t="s">
        <v>553</v>
      </c>
      <c r="B891" s="11" t="s">
        <v>554</v>
      </c>
      <c r="C891" s="36">
        <v>542100</v>
      </c>
      <c r="E891" s="3" t="s">
        <v>2335</v>
      </c>
      <c r="F891" s="19">
        <v>236</v>
      </c>
      <c r="G891" s="19">
        <v>499.4</v>
      </c>
      <c r="H891" s="19">
        <v>491.67</v>
      </c>
      <c r="I891" s="8">
        <v>481.62</v>
      </c>
      <c r="J891" s="10">
        <v>478.7</v>
      </c>
      <c r="K891" s="10">
        <v>399.42</v>
      </c>
      <c r="L891" s="9">
        <v>452.8</v>
      </c>
      <c r="M891" s="9">
        <v>273.56</v>
      </c>
      <c r="N891" s="9">
        <v>471.06</v>
      </c>
      <c r="O891" s="9">
        <v>400</v>
      </c>
      <c r="P891" s="9">
        <v>400</v>
      </c>
    </row>
    <row r="892" spans="1:14" ht="12.75" hidden="1">
      <c r="A892" s="3" t="s">
        <v>555</v>
      </c>
      <c r="B892" s="11" t="s">
        <v>556</v>
      </c>
      <c r="E892" s="3" t="s">
        <v>557</v>
      </c>
      <c r="F892" s="19">
        <v>0</v>
      </c>
      <c r="G892" s="19">
        <v>90.68</v>
      </c>
      <c r="H892" s="19">
        <v>72.74</v>
      </c>
      <c r="I892" s="8">
        <v>194.05</v>
      </c>
      <c r="J892" s="9">
        <v>65</v>
      </c>
      <c r="K892" s="10">
        <v>0</v>
      </c>
      <c r="L892" s="9">
        <v>0</v>
      </c>
      <c r="M892" s="9">
        <v>0</v>
      </c>
      <c r="N892" s="9">
        <v>0</v>
      </c>
    </row>
    <row r="893" spans="1:18" ht="12.75">
      <c r="A893" s="3" t="s">
        <v>558</v>
      </c>
      <c r="B893" s="11" t="s">
        <v>559</v>
      </c>
      <c r="C893" s="36">
        <v>552900</v>
      </c>
      <c r="E893" s="3" t="s">
        <v>2264</v>
      </c>
      <c r="F893" s="19">
        <v>111</v>
      </c>
      <c r="G893" s="19">
        <v>694.62</v>
      </c>
      <c r="H893" s="19">
        <v>208.07</v>
      </c>
      <c r="I893" s="8">
        <v>140</v>
      </c>
      <c r="J893" s="9">
        <v>124.77</v>
      </c>
      <c r="K893" s="10">
        <v>200</v>
      </c>
      <c r="L893" s="9">
        <v>107.7</v>
      </c>
      <c r="M893" s="9">
        <v>135.06</v>
      </c>
      <c r="N893" s="9">
        <v>140.1</v>
      </c>
      <c r="O893" s="9">
        <v>0</v>
      </c>
      <c r="P893" s="9">
        <v>0</v>
      </c>
      <c r="Q893" s="9">
        <v>0</v>
      </c>
      <c r="R893" s="9">
        <v>0</v>
      </c>
    </row>
    <row r="894" spans="1:17" ht="12.75">
      <c r="A894" s="3" t="s">
        <v>560</v>
      </c>
      <c r="B894" s="11" t="s">
        <v>561</v>
      </c>
      <c r="C894" s="36">
        <v>571000</v>
      </c>
      <c r="E894" s="3" t="s">
        <v>2389</v>
      </c>
      <c r="F894" s="19">
        <v>1177</v>
      </c>
      <c r="G894" s="19">
        <v>1250.26</v>
      </c>
      <c r="H894" s="19">
        <v>1647.47</v>
      </c>
      <c r="I894" s="8">
        <v>988.06</v>
      </c>
      <c r="J894" s="10">
        <v>890.27</v>
      </c>
      <c r="K894" s="10">
        <v>832.48</v>
      </c>
      <c r="L894" s="9">
        <v>996.27</v>
      </c>
      <c r="M894" s="9">
        <v>565.03</v>
      </c>
      <c r="N894" s="9">
        <v>852.01</v>
      </c>
      <c r="O894" s="9">
        <v>1149</v>
      </c>
      <c r="P894" s="9">
        <v>1149</v>
      </c>
      <c r="Q894" s="9">
        <v>1000</v>
      </c>
    </row>
    <row r="895" spans="1:17" ht="12.75">
      <c r="A895" s="3" t="s">
        <v>562</v>
      </c>
      <c r="B895" s="11" t="s">
        <v>563</v>
      </c>
      <c r="C895" s="36">
        <v>573000</v>
      </c>
      <c r="E895" s="3" t="s">
        <v>2395</v>
      </c>
      <c r="F895" s="19">
        <v>607</v>
      </c>
      <c r="G895" s="19">
        <v>400</v>
      </c>
      <c r="H895" s="19">
        <v>246</v>
      </c>
      <c r="I895" s="8">
        <v>365</v>
      </c>
      <c r="J895" s="9">
        <v>435</v>
      </c>
      <c r="K895" s="10">
        <v>428.75</v>
      </c>
      <c r="L895" s="9">
        <v>397</v>
      </c>
      <c r="M895" s="9">
        <v>397</v>
      </c>
      <c r="N895" s="9">
        <v>500</v>
      </c>
      <c r="O895" s="9">
        <v>500</v>
      </c>
      <c r="P895" s="9">
        <v>500</v>
      </c>
      <c r="Q895" s="9">
        <v>800</v>
      </c>
    </row>
    <row r="896" spans="5:18" ht="12.75">
      <c r="E896" s="20" t="s">
        <v>2274</v>
      </c>
      <c r="F896" s="21">
        <f aca="true" t="shared" si="192" ref="F896:K896">SUM(F894:F895)</f>
        <v>1784</v>
      </c>
      <c r="G896" s="21">
        <f t="shared" si="192"/>
        <v>1650.26</v>
      </c>
      <c r="H896" s="21">
        <f t="shared" si="192"/>
        <v>1893.47</v>
      </c>
      <c r="I896" s="22">
        <f t="shared" si="192"/>
        <v>1353.06</v>
      </c>
      <c r="J896" s="23">
        <f t="shared" si="192"/>
        <v>1325.27</v>
      </c>
      <c r="K896" s="23">
        <f t="shared" si="192"/>
        <v>1261.23</v>
      </c>
      <c r="L896" s="7">
        <f>SUM(L884:L895)</f>
        <v>18223</v>
      </c>
      <c r="M896" s="7">
        <f aca="true" t="shared" si="193" ref="M896:R896">SUM(M884:M895)</f>
        <v>28912.26</v>
      </c>
      <c r="N896" s="7">
        <f t="shared" si="193"/>
        <v>40182.75</v>
      </c>
      <c r="O896" s="7">
        <f t="shared" si="193"/>
        <v>12789</v>
      </c>
      <c r="P896" s="7">
        <f t="shared" si="193"/>
        <v>12789</v>
      </c>
      <c r="Q896" s="7">
        <f t="shared" si="193"/>
        <v>55500</v>
      </c>
      <c r="R896" s="7">
        <f t="shared" si="193"/>
        <v>0</v>
      </c>
    </row>
    <row r="897" spans="3:8" ht="11.25" customHeight="1">
      <c r="C897" s="196">
        <v>11753</v>
      </c>
      <c r="E897" s="20"/>
      <c r="F897" s="21"/>
      <c r="G897" s="21"/>
      <c r="H897" s="21"/>
    </row>
    <row r="898" spans="2:18" ht="12.75">
      <c r="B898" s="11">
        <v>5965</v>
      </c>
      <c r="E898" s="3" t="s">
        <v>2276</v>
      </c>
      <c r="F898" s="19">
        <v>0</v>
      </c>
      <c r="G898" s="19">
        <v>651.77</v>
      </c>
      <c r="H898" s="19">
        <v>0</v>
      </c>
      <c r="I898" s="8">
        <v>0</v>
      </c>
      <c r="J898" s="10">
        <v>0</v>
      </c>
      <c r="K898" s="10">
        <v>0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v>5550</v>
      </c>
      <c r="R898" s="9">
        <v>0</v>
      </c>
    </row>
    <row r="899" spans="5:18" ht="12.75">
      <c r="E899" s="20" t="s">
        <v>2277</v>
      </c>
      <c r="F899" s="21">
        <f>F898</f>
        <v>0</v>
      </c>
      <c r="G899" s="21">
        <f>G898</f>
        <v>651.77</v>
      </c>
      <c r="H899" s="21">
        <f>H898</f>
        <v>0</v>
      </c>
      <c r="I899" s="22">
        <f aca="true" t="shared" si="194" ref="I899:N899">SUM(I898)</f>
        <v>0</v>
      </c>
      <c r="J899" s="23">
        <f t="shared" si="194"/>
        <v>0</v>
      </c>
      <c r="K899" s="23">
        <f t="shared" si="194"/>
        <v>0</v>
      </c>
      <c r="L899" s="7">
        <f t="shared" si="194"/>
        <v>0</v>
      </c>
      <c r="M899" s="7">
        <f t="shared" si="194"/>
        <v>0</v>
      </c>
      <c r="N899" s="7">
        <f t="shared" si="194"/>
        <v>0</v>
      </c>
      <c r="O899" s="7">
        <f>SUM(O898)</f>
        <v>0</v>
      </c>
      <c r="P899" s="7">
        <f>SUM(P898)</f>
        <v>0</v>
      </c>
      <c r="Q899" s="7">
        <f>SUM(Q898)</f>
        <v>5550</v>
      </c>
      <c r="R899" s="7">
        <f>SUM(R898)</f>
        <v>0</v>
      </c>
    </row>
    <row r="900" spans="5:8" ht="12.75">
      <c r="E900" s="20"/>
      <c r="F900" s="21"/>
      <c r="G900" s="21"/>
      <c r="H900" s="21"/>
    </row>
    <row r="901" spans="5:18" ht="12.75">
      <c r="E901" s="2" t="s">
        <v>564</v>
      </c>
      <c r="F901" s="31">
        <f aca="true" t="shared" si="195" ref="F901:K901">SUM(F876:F899)/2</f>
        <v>50428.5</v>
      </c>
      <c r="G901" s="31">
        <f t="shared" si="195"/>
        <v>57658.35999999999</v>
      </c>
      <c r="H901" s="31">
        <f t="shared" si="195"/>
        <v>63444.66500000001</v>
      </c>
      <c r="I901" s="28">
        <f t="shared" si="195"/>
        <v>169047.835</v>
      </c>
      <c r="J901" s="28">
        <f t="shared" si="195"/>
        <v>204606.195</v>
      </c>
      <c r="K901" s="28">
        <f t="shared" si="195"/>
        <v>209030.345</v>
      </c>
      <c r="L901" s="32">
        <f>SUM(L876:L899)/2</f>
        <v>211719.1</v>
      </c>
      <c r="M901" s="32">
        <f aca="true" t="shared" si="196" ref="M901:R901">SUM(M876:M899)/2</f>
        <v>226031.74000000002</v>
      </c>
      <c r="N901" s="32">
        <f t="shared" si="196"/>
        <v>196689.91999999998</v>
      </c>
      <c r="O901" s="32">
        <f t="shared" si="196"/>
        <v>204284</v>
      </c>
      <c r="P901" s="32">
        <f t="shared" si="196"/>
        <v>204284</v>
      </c>
      <c r="Q901" s="32">
        <f t="shared" si="196"/>
        <v>255260</v>
      </c>
      <c r="R901" s="32">
        <f t="shared" si="196"/>
        <v>0</v>
      </c>
    </row>
    <row r="902" ht="12.75">
      <c r="E902" s="38"/>
    </row>
    <row r="903" spans="1:5" ht="12.75">
      <c r="A903" s="3" t="s">
        <v>2180</v>
      </c>
      <c r="C903" s="196">
        <v>14111</v>
      </c>
      <c r="D903" s="196"/>
      <c r="E903" s="163" t="s">
        <v>565</v>
      </c>
    </row>
    <row r="904" spans="1:17" ht="12.75">
      <c r="A904" s="3" t="s">
        <v>566</v>
      </c>
      <c r="B904" s="11" t="s">
        <v>567</v>
      </c>
      <c r="C904" s="36">
        <v>511000</v>
      </c>
      <c r="E904" s="3" t="s">
        <v>2938</v>
      </c>
      <c r="F904" s="19">
        <v>89882</v>
      </c>
      <c r="G904" s="19">
        <v>96213.96</v>
      </c>
      <c r="H904" s="19">
        <v>107036.3</v>
      </c>
      <c r="I904" s="8">
        <v>113800.3</v>
      </c>
      <c r="J904" s="9">
        <v>115336.78</v>
      </c>
      <c r="K904" s="10">
        <v>71076.12</v>
      </c>
      <c r="L904" s="9">
        <v>73603.3</v>
      </c>
      <c r="M904" s="9">
        <v>27430.72</v>
      </c>
      <c r="N904" s="9">
        <v>0</v>
      </c>
      <c r="O904" s="9">
        <f>94792+29400</f>
        <v>124192</v>
      </c>
      <c r="P904" s="9">
        <v>60000</v>
      </c>
      <c r="Q904" s="9">
        <v>57973</v>
      </c>
    </row>
    <row r="905" spans="1:14" ht="12.75" hidden="1">
      <c r="A905" s="3" t="s">
        <v>568</v>
      </c>
      <c r="B905" s="11" t="s">
        <v>569</v>
      </c>
      <c r="E905" s="3" t="s">
        <v>570</v>
      </c>
      <c r="F905" s="19">
        <v>3183</v>
      </c>
      <c r="H905" s="19">
        <v>0</v>
      </c>
      <c r="I905" s="8">
        <v>0</v>
      </c>
      <c r="J905" s="9">
        <v>0</v>
      </c>
      <c r="K905" s="10">
        <v>0</v>
      </c>
      <c r="L905" s="9">
        <v>0</v>
      </c>
      <c r="M905" s="9">
        <v>0</v>
      </c>
      <c r="N905" s="9">
        <v>0</v>
      </c>
    </row>
    <row r="906" spans="2:17" ht="12.75">
      <c r="B906" s="11">
        <v>5983.1</v>
      </c>
      <c r="C906" s="36">
        <v>511100</v>
      </c>
      <c r="E906" s="3" t="s">
        <v>2370</v>
      </c>
      <c r="K906" s="10"/>
      <c r="N906" s="9">
        <v>604</v>
      </c>
      <c r="O906" s="9">
        <v>0</v>
      </c>
      <c r="P906" s="9">
        <v>20000</v>
      </c>
      <c r="Q906" s="9">
        <v>25000</v>
      </c>
    </row>
    <row r="907" spans="1:16" ht="12.75">
      <c r="A907" s="3" t="s">
        <v>571</v>
      </c>
      <c r="B907" s="11" t="s">
        <v>572</v>
      </c>
      <c r="C907" s="36">
        <v>513000</v>
      </c>
      <c r="E907" s="3" t="s">
        <v>2186</v>
      </c>
      <c r="F907" s="19">
        <v>442</v>
      </c>
      <c r="H907" s="19">
        <v>1410.46</v>
      </c>
      <c r="I907" s="8">
        <v>1734.16</v>
      </c>
      <c r="J907" s="9">
        <v>1544.19</v>
      </c>
      <c r="K907" s="10">
        <v>1515.96</v>
      </c>
      <c r="L907" s="9">
        <v>707.44</v>
      </c>
      <c r="N907" s="9">
        <v>0</v>
      </c>
      <c r="O907" s="9">
        <v>1655</v>
      </c>
      <c r="P907" s="9">
        <v>1655</v>
      </c>
    </row>
    <row r="908" spans="1:17" ht="12.75">
      <c r="A908" s="3" t="s">
        <v>582</v>
      </c>
      <c r="B908" s="11" t="s">
        <v>583</v>
      </c>
      <c r="C908" s="36">
        <v>517000</v>
      </c>
      <c r="E908" s="3" t="s">
        <v>2222</v>
      </c>
      <c r="F908" s="19">
        <v>8819</v>
      </c>
      <c r="G908" s="19">
        <v>8378</v>
      </c>
      <c r="H908" s="19">
        <v>19403</v>
      </c>
      <c r="I908" s="8">
        <v>17633</v>
      </c>
      <c r="J908" s="9">
        <v>25818</v>
      </c>
      <c r="K908" s="10">
        <v>26014</v>
      </c>
      <c r="L908" s="9">
        <v>11201</v>
      </c>
      <c r="M908" s="9">
        <v>10990.05</v>
      </c>
      <c r="N908" s="9">
        <v>12989</v>
      </c>
      <c r="O908" s="9">
        <v>14642</v>
      </c>
      <c r="P908" s="9">
        <v>14642</v>
      </c>
      <c r="Q908" s="9">
        <v>15633</v>
      </c>
    </row>
    <row r="909" spans="1:17" ht="12.75">
      <c r="A909" s="3" t="s">
        <v>578</v>
      </c>
      <c r="B909" s="11" t="s">
        <v>579</v>
      </c>
      <c r="C909" s="36">
        <v>517200</v>
      </c>
      <c r="E909" s="3" t="s">
        <v>2216</v>
      </c>
      <c r="F909" s="19">
        <v>300</v>
      </c>
      <c r="G909" s="19">
        <v>225</v>
      </c>
      <c r="H909" s="19">
        <v>225</v>
      </c>
      <c r="I909" s="8">
        <v>225</v>
      </c>
      <c r="J909" s="9">
        <v>225</v>
      </c>
      <c r="K909" s="10">
        <v>225</v>
      </c>
      <c r="L909" s="9">
        <v>225</v>
      </c>
      <c r="M909" s="9">
        <v>329</v>
      </c>
      <c r="N909" s="9">
        <v>315</v>
      </c>
      <c r="O909" s="9">
        <v>299</v>
      </c>
      <c r="P909" s="9">
        <v>299</v>
      </c>
      <c r="Q909" s="9">
        <v>314</v>
      </c>
    </row>
    <row r="910" spans="1:17" ht="12.75">
      <c r="A910" s="3" t="s">
        <v>584</v>
      </c>
      <c r="B910" s="11" t="s">
        <v>585</v>
      </c>
      <c r="C910" s="36">
        <v>517800</v>
      </c>
      <c r="E910" s="3" t="s">
        <v>2298</v>
      </c>
      <c r="F910" s="19">
        <v>479</v>
      </c>
      <c r="G910" s="19">
        <v>432</v>
      </c>
      <c r="H910" s="19">
        <v>519</v>
      </c>
      <c r="I910" s="8">
        <v>590</v>
      </c>
      <c r="J910" s="9">
        <v>590</v>
      </c>
      <c r="K910" s="10">
        <v>610</v>
      </c>
      <c r="L910" s="9">
        <v>610</v>
      </c>
      <c r="M910" s="9">
        <v>703</v>
      </c>
      <c r="N910" s="9">
        <v>703</v>
      </c>
      <c r="O910" s="9">
        <v>703</v>
      </c>
      <c r="P910" s="9">
        <v>703</v>
      </c>
      <c r="Q910" s="9">
        <v>1298</v>
      </c>
    </row>
    <row r="911" spans="1:15" ht="12.75" hidden="1">
      <c r="A911" s="3" t="s">
        <v>580</v>
      </c>
      <c r="B911" s="11" t="s">
        <v>581</v>
      </c>
      <c r="E911" s="3" t="s">
        <v>2219</v>
      </c>
      <c r="F911" s="19">
        <v>48</v>
      </c>
      <c r="G911" s="19">
        <v>48</v>
      </c>
      <c r="H911" s="19">
        <v>48</v>
      </c>
      <c r="I911" s="8">
        <v>0</v>
      </c>
      <c r="J911" s="9">
        <v>0</v>
      </c>
      <c r="K911" s="10">
        <v>0</v>
      </c>
      <c r="L911" s="9">
        <v>0</v>
      </c>
      <c r="M911" s="9">
        <v>0</v>
      </c>
      <c r="N911" s="9">
        <v>0</v>
      </c>
      <c r="O911" s="9">
        <v>0</v>
      </c>
    </row>
    <row r="912" spans="1:17" ht="12.75">
      <c r="A912" s="3" t="s">
        <v>576</v>
      </c>
      <c r="B912" s="11" t="s">
        <v>577</v>
      </c>
      <c r="C912" s="36">
        <v>519800</v>
      </c>
      <c r="E912" s="3" t="s">
        <v>2692</v>
      </c>
      <c r="F912" s="19">
        <v>0</v>
      </c>
      <c r="H912" s="19">
        <v>0</v>
      </c>
      <c r="I912" s="8">
        <v>0</v>
      </c>
      <c r="J912" s="9">
        <v>0</v>
      </c>
      <c r="K912" s="10">
        <v>0</v>
      </c>
      <c r="L912" s="9">
        <v>0</v>
      </c>
      <c r="M912" s="9">
        <v>600</v>
      </c>
      <c r="N912" s="9">
        <v>0</v>
      </c>
      <c r="O912" s="9">
        <v>1200</v>
      </c>
      <c r="P912" s="9">
        <v>600</v>
      </c>
      <c r="Q912" s="9">
        <v>600</v>
      </c>
    </row>
    <row r="913" spans="1:17" ht="12.75">
      <c r="A913" s="3" t="s">
        <v>586</v>
      </c>
      <c r="B913" s="11" t="s">
        <v>587</v>
      </c>
      <c r="C913" s="36">
        <v>519900</v>
      </c>
      <c r="E913" s="3" t="s">
        <v>588</v>
      </c>
      <c r="F913" s="19">
        <v>800</v>
      </c>
      <c r="G913" s="19">
        <v>850</v>
      </c>
      <c r="H913" s="19">
        <v>850</v>
      </c>
      <c r="I913" s="8">
        <v>850</v>
      </c>
      <c r="J913" s="9">
        <v>850</v>
      </c>
      <c r="K913" s="10">
        <v>425</v>
      </c>
      <c r="L913" s="9">
        <v>425</v>
      </c>
      <c r="M913" s="9">
        <v>425</v>
      </c>
      <c r="N913" s="9">
        <v>0</v>
      </c>
      <c r="O913" s="9">
        <v>1150</v>
      </c>
      <c r="P913" s="9">
        <v>575</v>
      </c>
      <c r="Q913" s="9">
        <v>575</v>
      </c>
    </row>
    <row r="914" spans="1:14" ht="12.75">
      <c r="A914" s="3" t="s">
        <v>573</v>
      </c>
      <c r="B914" s="11" t="s">
        <v>574</v>
      </c>
      <c r="C914" s="36">
        <v>514800</v>
      </c>
      <c r="E914" s="3" t="s">
        <v>2288</v>
      </c>
      <c r="F914" s="19">
        <v>275</v>
      </c>
      <c r="G914" s="19">
        <v>275</v>
      </c>
      <c r="H914" s="19">
        <v>275</v>
      </c>
      <c r="I914" s="8">
        <v>325</v>
      </c>
      <c r="J914" s="9">
        <v>325</v>
      </c>
      <c r="K914" s="10">
        <v>325</v>
      </c>
      <c r="L914" s="9">
        <v>325</v>
      </c>
      <c r="N914" s="9">
        <v>0</v>
      </c>
    </row>
    <row r="915" spans="5:18" ht="12.75">
      <c r="E915" s="20" t="s">
        <v>2187</v>
      </c>
      <c r="F915" s="21">
        <f aca="true" t="shared" si="197" ref="F915:L915">SUM(F904:F914)</f>
        <v>104228</v>
      </c>
      <c r="G915" s="21">
        <f t="shared" si="197"/>
        <v>106421.96</v>
      </c>
      <c r="H915" s="21">
        <f t="shared" si="197"/>
        <v>129766.76000000001</v>
      </c>
      <c r="I915" s="22">
        <f t="shared" si="197"/>
        <v>135157.46000000002</v>
      </c>
      <c r="J915" s="23">
        <f t="shared" si="197"/>
        <v>144688.97</v>
      </c>
      <c r="K915" s="23">
        <f t="shared" si="197"/>
        <v>100191.08</v>
      </c>
      <c r="L915" s="7">
        <f t="shared" si="197"/>
        <v>87096.74</v>
      </c>
      <c r="M915" s="7">
        <f aca="true" t="shared" si="198" ref="M915:R915">SUM(M904:M914)</f>
        <v>40477.770000000004</v>
      </c>
      <c r="N915" s="7">
        <f t="shared" si="198"/>
        <v>14611</v>
      </c>
      <c r="O915" s="7">
        <f t="shared" si="198"/>
        <v>143841</v>
      </c>
      <c r="P915" s="7">
        <f t="shared" si="198"/>
        <v>98474</v>
      </c>
      <c r="Q915" s="7">
        <f t="shared" si="198"/>
        <v>101393</v>
      </c>
      <c r="R915" s="7">
        <f t="shared" si="198"/>
        <v>0</v>
      </c>
    </row>
    <row r="916" spans="3:4" ht="12.75">
      <c r="C916" s="196">
        <v>14112</v>
      </c>
      <c r="D916" s="196"/>
    </row>
    <row r="917" spans="1:17" ht="12.75">
      <c r="A917" s="3" t="s">
        <v>589</v>
      </c>
      <c r="B917" s="11" t="s">
        <v>590</v>
      </c>
      <c r="C917" s="36">
        <v>524500</v>
      </c>
      <c r="E917" s="3" t="s">
        <v>591</v>
      </c>
      <c r="F917" s="19">
        <v>327</v>
      </c>
      <c r="G917" s="19">
        <v>255</v>
      </c>
      <c r="H917" s="19">
        <v>199.54</v>
      </c>
      <c r="I917" s="8">
        <v>118.3</v>
      </c>
      <c r="J917" s="10">
        <v>106.39</v>
      </c>
      <c r="K917" s="10">
        <v>0</v>
      </c>
      <c r="L917" s="9">
        <v>144.99</v>
      </c>
      <c r="N917" s="9">
        <v>0</v>
      </c>
      <c r="O917" s="9">
        <v>150</v>
      </c>
      <c r="P917" s="9">
        <v>150</v>
      </c>
      <c r="Q917" s="9">
        <v>200</v>
      </c>
    </row>
    <row r="918" spans="1:18" ht="12.75" hidden="1">
      <c r="A918" s="3" t="s">
        <v>592</v>
      </c>
      <c r="B918" s="11" t="s">
        <v>593</v>
      </c>
      <c r="E918" s="3" t="s">
        <v>2842</v>
      </c>
      <c r="F918" s="19">
        <v>0</v>
      </c>
      <c r="G918" s="19">
        <v>0</v>
      </c>
      <c r="H918" s="19">
        <v>0</v>
      </c>
      <c r="I918" s="8">
        <v>0</v>
      </c>
      <c r="J918" s="9">
        <v>0</v>
      </c>
      <c r="K918" s="10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9">
        <v>0</v>
      </c>
    </row>
    <row r="919" spans="1:17" ht="12.75">
      <c r="A919" s="3" t="s">
        <v>599</v>
      </c>
      <c r="B919" s="11" t="s">
        <v>600</v>
      </c>
      <c r="C919" s="36">
        <v>542900</v>
      </c>
      <c r="E919" s="3" t="s">
        <v>1312</v>
      </c>
      <c r="F919" s="19">
        <v>1411</v>
      </c>
      <c r="G919" s="19">
        <v>1492.84</v>
      </c>
      <c r="H919" s="19">
        <v>1090.42</v>
      </c>
      <c r="I919" s="10">
        <v>1491.65</v>
      </c>
      <c r="J919" s="9">
        <v>1164.03</v>
      </c>
      <c r="K919" s="10">
        <v>384.07</v>
      </c>
      <c r="L919" s="9">
        <v>989.48</v>
      </c>
      <c r="M919" s="9">
        <v>519.86</v>
      </c>
      <c r="N919" s="9">
        <v>842.36</v>
      </c>
      <c r="O919" s="9">
        <v>800</v>
      </c>
      <c r="P919" s="9">
        <v>800</v>
      </c>
      <c r="Q919" s="9">
        <v>800</v>
      </c>
    </row>
    <row r="920" spans="1:17" ht="12.75">
      <c r="A920" s="3" t="s">
        <v>596</v>
      </c>
      <c r="B920" s="11" t="s">
        <v>597</v>
      </c>
      <c r="C920" s="36">
        <v>548000</v>
      </c>
      <c r="E920" s="3" t="s">
        <v>598</v>
      </c>
      <c r="F920" s="19">
        <v>1000</v>
      </c>
      <c r="G920" s="19">
        <v>0</v>
      </c>
      <c r="H920" s="19">
        <v>689.58</v>
      </c>
      <c r="I920" s="10">
        <v>990.73</v>
      </c>
      <c r="J920" s="9">
        <v>392.9</v>
      </c>
      <c r="K920" s="10">
        <v>90.36</v>
      </c>
      <c r="L920" s="9">
        <v>0</v>
      </c>
      <c r="M920" s="9">
        <v>291.34</v>
      </c>
      <c r="N920" s="9">
        <v>500</v>
      </c>
      <c r="O920" s="9">
        <v>500</v>
      </c>
      <c r="P920" s="9">
        <v>500</v>
      </c>
      <c r="Q920" s="9">
        <v>500</v>
      </c>
    </row>
    <row r="921" spans="1:17" ht="12.75">
      <c r="A921" s="3" t="s">
        <v>594</v>
      </c>
      <c r="B921" s="11" t="s">
        <v>595</v>
      </c>
      <c r="C921" s="36">
        <v>548900</v>
      </c>
      <c r="E921" s="3" t="s">
        <v>350</v>
      </c>
      <c r="F921" s="19">
        <v>116</v>
      </c>
      <c r="G921" s="19">
        <v>239.67</v>
      </c>
      <c r="H921" s="19">
        <v>283.33</v>
      </c>
      <c r="I921" s="10">
        <v>294.09</v>
      </c>
      <c r="J921" s="10">
        <v>197.03</v>
      </c>
      <c r="K921" s="10">
        <v>103.57</v>
      </c>
      <c r="L921" s="9">
        <v>237.52</v>
      </c>
      <c r="M921" s="9">
        <v>192.28</v>
      </c>
      <c r="N921" s="9">
        <v>395.69</v>
      </c>
      <c r="O921" s="9">
        <v>875</v>
      </c>
      <c r="P921" s="9">
        <v>875</v>
      </c>
      <c r="Q921" s="9">
        <v>875</v>
      </c>
    </row>
    <row r="922" spans="1:15" ht="12.75">
      <c r="A922" s="3" t="s">
        <v>601</v>
      </c>
      <c r="B922" s="11" t="s">
        <v>602</v>
      </c>
      <c r="C922" s="36">
        <v>552900</v>
      </c>
      <c r="E922" s="3" t="s">
        <v>2617</v>
      </c>
      <c r="F922" s="19">
        <v>195</v>
      </c>
      <c r="H922" s="19">
        <v>168.4</v>
      </c>
      <c r="I922" s="10">
        <v>203.18</v>
      </c>
      <c r="J922" s="9">
        <v>181</v>
      </c>
      <c r="K922" s="10">
        <v>160.62</v>
      </c>
      <c r="L922" s="9">
        <v>0</v>
      </c>
      <c r="M922" s="9">
        <v>180.45</v>
      </c>
      <c r="N922" s="9">
        <v>83.02</v>
      </c>
      <c r="O922" s="9">
        <v>0</v>
      </c>
    </row>
    <row r="923" spans="1:17" ht="12.75">
      <c r="A923" s="3" t="s">
        <v>603</v>
      </c>
      <c r="B923" s="11" t="s">
        <v>604</v>
      </c>
      <c r="C923" s="36">
        <v>571000</v>
      </c>
      <c r="E923" s="3" t="s">
        <v>2389</v>
      </c>
      <c r="F923" s="19">
        <v>768</v>
      </c>
      <c r="G923" s="19">
        <v>223.67</v>
      </c>
      <c r="H923" s="19">
        <v>563.53</v>
      </c>
      <c r="I923" s="10">
        <v>145</v>
      </c>
      <c r="J923" s="10">
        <v>710.18</v>
      </c>
      <c r="K923" s="10">
        <v>298.56</v>
      </c>
      <c r="L923" s="9">
        <v>123.2</v>
      </c>
      <c r="N923" s="9">
        <v>258.82</v>
      </c>
      <c r="O923" s="9">
        <v>245</v>
      </c>
      <c r="P923" s="9">
        <v>245</v>
      </c>
      <c r="Q923" s="9">
        <v>480</v>
      </c>
    </row>
    <row r="924" spans="1:17" ht="12.75">
      <c r="A924" s="3" t="s">
        <v>605</v>
      </c>
      <c r="B924" s="11" t="s">
        <v>606</v>
      </c>
      <c r="C924" s="36">
        <v>573000</v>
      </c>
      <c r="E924" s="3" t="s">
        <v>3001</v>
      </c>
      <c r="F924" s="19">
        <v>0</v>
      </c>
      <c r="G924" s="19">
        <v>0</v>
      </c>
      <c r="H924" s="19">
        <v>0</v>
      </c>
      <c r="I924" s="10">
        <v>50</v>
      </c>
      <c r="J924" s="9">
        <v>50</v>
      </c>
      <c r="K924" s="10">
        <v>120</v>
      </c>
      <c r="L924" s="9">
        <v>60</v>
      </c>
      <c r="M924" s="9">
        <v>60</v>
      </c>
      <c r="N924" s="9">
        <v>60</v>
      </c>
      <c r="O924" s="9">
        <v>75</v>
      </c>
      <c r="P924" s="9">
        <v>75</v>
      </c>
      <c r="Q924" s="9">
        <v>290</v>
      </c>
    </row>
    <row r="925" spans="5:18" ht="12.75">
      <c r="E925" s="20" t="s">
        <v>2274</v>
      </c>
      <c r="F925" s="21">
        <f aca="true" t="shared" si="199" ref="F925:K925">SUM(F923:F924)</f>
        <v>768</v>
      </c>
      <c r="G925" s="21">
        <f t="shared" si="199"/>
        <v>223.67</v>
      </c>
      <c r="H925" s="21">
        <f t="shared" si="199"/>
        <v>563.53</v>
      </c>
      <c r="I925" s="22">
        <f t="shared" si="199"/>
        <v>195</v>
      </c>
      <c r="J925" s="23">
        <f t="shared" si="199"/>
        <v>760.18</v>
      </c>
      <c r="K925" s="23">
        <f t="shared" si="199"/>
        <v>418.56</v>
      </c>
      <c r="L925" s="7">
        <f>SUM(L917:L924)</f>
        <v>1555.19</v>
      </c>
      <c r="M925" s="7">
        <f aca="true" t="shared" si="200" ref="M925:R925">SUM(M917:M924)</f>
        <v>1243.93</v>
      </c>
      <c r="N925" s="7">
        <f t="shared" si="200"/>
        <v>2139.8900000000003</v>
      </c>
      <c r="O925" s="7">
        <f t="shared" si="200"/>
        <v>2645</v>
      </c>
      <c r="P925" s="7">
        <f t="shared" si="200"/>
        <v>2645</v>
      </c>
      <c r="Q925" s="7">
        <f t="shared" si="200"/>
        <v>3145</v>
      </c>
      <c r="R925" s="7">
        <f t="shared" si="200"/>
        <v>0</v>
      </c>
    </row>
    <row r="926" spans="5:9" ht="12.75" hidden="1">
      <c r="E926" s="20"/>
      <c r="I926" s="10"/>
    </row>
    <row r="927" spans="1:18" ht="12.75" hidden="1">
      <c r="A927" s="3" t="s">
        <v>607</v>
      </c>
      <c r="B927" s="11" t="s">
        <v>608</v>
      </c>
      <c r="E927" s="3" t="s">
        <v>609</v>
      </c>
      <c r="F927" s="19">
        <v>1000</v>
      </c>
      <c r="G927" s="19">
        <v>0</v>
      </c>
      <c r="H927" s="19">
        <v>0</v>
      </c>
      <c r="I927" s="10">
        <v>0</v>
      </c>
      <c r="J927" s="10">
        <v>0</v>
      </c>
      <c r="K927" s="10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</row>
    <row r="928" spans="2:18" ht="12.75" hidden="1">
      <c r="B928" s="11" t="s">
        <v>610</v>
      </c>
      <c r="E928" s="3" t="s">
        <v>2276</v>
      </c>
      <c r="F928" s="19">
        <v>0</v>
      </c>
      <c r="G928" s="19">
        <v>3511.67</v>
      </c>
      <c r="H928" s="19">
        <v>0</v>
      </c>
      <c r="I928" s="10">
        <v>29145</v>
      </c>
      <c r="J928" s="9">
        <v>0</v>
      </c>
      <c r="K928" s="10">
        <v>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v>0</v>
      </c>
      <c r="R928" s="9">
        <v>0</v>
      </c>
    </row>
    <row r="929" spans="5:18" ht="12.75" hidden="1">
      <c r="E929" s="20" t="s">
        <v>2895</v>
      </c>
      <c r="F929" s="21">
        <f aca="true" t="shared" si="201" ref="F929:L929">SUM(F927:F928)</f>
        <v>1000</v>
      </c>
      <c r="G929" s="21">
        <f t="shared" si="201"/>
        <v>3511.67</v>
      </c>
      <c r="H929" s="21">
        <f t="shared" si="201"/>
        <v>0</v>
      </c>
      <c r="I929" s="22">
        <f t="shared" si="201"/>
        <v>29145</v>
      </c>
      <c r="J929" s="23">
        <f t="shared" si="201"/>
        <v>0</v>
      </c>
      <c r="K929" s="23">
        <f t="shared" si="201"/>
        <v>0</v>
      </c>
      <c r="L929" s="7">
        <f t="shared" si="201"/>
        <v>0</v>
      </c>
      <c r="M929" s="7">
        <f aca="true" t="shared" si="202" ref="M929:R929">SUM(M927:M928)</f>
        <v>0</v>
      </c>
      <c r="N929" s="7">
        <f t="shared" si="202"/>
        <v>0</v>
      </c>
      <c r="O929" s="7">
        <f t="shared" si="202"/>
        <v>0</v>
      </c>
      <c r="P929" s="7">
        <f t="shared" si="202"/>
        <v>0</v>
      </c>
      <c r="Q929" s="7">
        <f t="shared" si="202"/>
        <v>0</v>
      </c>
      <c r="R929" s="7">
        <f t="shared" si="202"/>
        <v>0</v>
      </c>
    </row>
    <row r="931" spans="5:18" ht="12.75">
      <c r="E931" s="2" t="s">
        <v>614</v>
      </c>
      <c r="F931" s="31">
        <f aca="true" t="shared" si="203" ref="F931:K931">SUM(F904:F929)/2</f>
        <v>107520.5</v>
      </c>
      <c r="G931" s="31">
        <f t="shared" si="203"/>
        <v>111151.05500000004</v>
      </c>
      <c r="H931" s="31">
        <f t="shared" si="203"/>
        <v>131545.92500000002</v>
      </c>
      <c r="I931" s="28">
        <f t="shared" si="203"/>
        <v>166046.43500000003</v>
      </c>
      <c r="J931" s="28">
        <f t="shared" si="203"/>
        <v>146469.82500000004</v>
      </c>
      <c r="K931" s="28">
        <f t="shared" si="203"/>
        <v>100978.95</v>
      </c>
      <c r="L931" s="32">
        <f>SUM(L904:L929)/2</f>
        <v>88651.93000000001</v>
      </c>
      <c r="M931" s="32">
        <f aca="true" t="shared" si="204" ref="M931:R931">SUM(M904:M929)/2</f>
        <v>41721.7</v>
      </c>
      <c r="N931" s="32">
        <f t="shared" si="204"/>
        <v>16750.89</v>
      </c>
      <c r="O931" s="32">
        <f t="shared" si="204"/>
        <v>146486</v>
      </c>
      <c r="P931" s="32">
        <f t="shared" si="204"/>
        <v>101119</v>
      </c>
      <c r="Q931" s="32">
        <f t="shared" si="204"/>
        <v>104538</v>
      </c>
      <c r="R931" s="32">
        <f t="shared" si="204"/>
        <v>0</v>
      </c>
    </row>
    <row r="932" ht="12.75">
      <c r="A932" s="3" t="s">
        <v>2180</v>
      </c>
    </row>
    <row r="933" ht="12.75">
      <c r="E933" s="163" t="s">
        <v>1963</v>
      </c>
    </row>
    <row r="934" spans="3:5" ht="12.75">
      <c r="C934" s="196">
        <v>12411</v>
      </c>
      <c r="D934" s="196"/>
      <c r="E934" s="2"/>
    </row>
    <row r="935" spans="1:17" ht="12.75">
      <c r="A935" s="3" t="s">
        <v>615</v>
      </c>
      <c r="B935" s="11" t="s">
        <v>616</v>
      </c>
      <c r="C935" s="36">
        <v>511000</v>
      </c>
      <c r="E935" s="3" t="s">
        <v>617</v>
      </c>
      <c r="F935" s="19">
        <v>70976</v>
      </c>
      <c r="G935" s="19">
        <v>71750.95</v>
      </c>
      <c r="H935" s="19">
        <v>105087.02</v>
      </c>
      <c r="I935" s="10">
        <v>144728.83</v>
      </c>
      <c r="J935" s="9">
        <v>145085.14</v>
      </c>
      <c r="K935" s="10">
        <v>134720.68</v>
      </c>
      <c r="L935" s="9">
        <v>140644.19</v>
      </c>
      <c r="M935" s="9">
        <v>129800.13</v>
      </c>
      <c r="N935" s="9">
        <v>147333.69</v>
      </c>
      <c r="O935" s="9">
        <f>177550-51700</f>
        <v>125850</v>
      </c>
      <c r="P935" s="9">
        <v>121995</v>
      </c>
      <c r="Q935" s="9">
        <v>121991</v>
      </c>
    </row>
    <row r="936" spans="1:17" ht="12.75">
      <c r="A936" s="3" t="s">
        <v>618</v>
      </c>
      <c r="B936" s="11" t="s">
        <v>619</v>
      </c>
      <c r="C936" s="36">
        <v>511100</v>
      </c>
      <c r="E936" s="3" t="s">
        <v>620</v>
      </c>
      <c r="F936" s="19">
        <v>5000</v>
      </c>
      <c r="G936" s="19">
        <v>5000.04</v>
      </c>
      <c r="H936" s="19">
        <v>5000.04</v>
      </c>
      <c r="I936" s="10">
        <v>5000.04</v>
      </c>
      <c r="J936" s="9">
        <v>5000.04</v>
      </c>
      <c r="K936" s="10">
        <v>5000.04</v>
      </c>
      <c r="L936" s="9">
        <f>5175-5175</f>
        <v>0</v>
      </c>
      <c r="M936" s="9">
        <f>5175-5175</f>
        <v>0</v>
      </c>
      <c r="N936" s="9">
        <v>19795.01</v>
      </c>
      <c r="O936" s="9">
        <v>20175</v>
      </c>
      <c r="P936" s="9">
        <v>15875</v>
      </c>
      <c r="Q936" s="9">
        <v>19420</v>
      </c>
    </row>
    <row r="937" spans="1:14" ht="12.75" hidden="1">
      <c r="A937" s="3" t="s">
        <v>621</v>
      </c>
      <c r="B937" s="11" t="s">
        <v>622</v>
      </c>
      <c r="E937" s="3" t="s">
        <v>2186</v>
      </c>
      <c r="F937" s="19">
        <v>0</v>
      </c>
      <c r="H937" s="19">
        <v>71.06</v>
      </c>
      <c r="I937" s="10">
        <v>609.73</v>
      </c>
      <c r="J937" s="9">
        <v>56.14</v>
      </c>
      <c r="K937" s="10">
        <v>57.83</v>
      </c>
      <c r="L937" s="9">
        <v>0</v>
      </c>
      <c r="M937" s="9">
        <v>0</v>
      </c>
      <c r="N937" s="9">
        <v>0</v>
      </c>
    </row>
    <row r="938" spans="1:17" ht="12.75">
      <c r="A938" s="3" t="s">
        <v>625</v>
      </c>
      <c r="B938" s="11" t="s">
        <v>626</v>
      </c>
      <c r="C938" s="36">
        <v>514800</v>
      </c>
      <c r="E938" s="3" t="s">
        <v>2288</v>
      </c>
      <c r="F938" s="19">
        <v>275</v>
      </c>
      <c r="G938" s="19">
        <v>275</v>
      </c>
      <c r="H938" s="19">
        <v>275</v>
      </c>
      <c r="I938" s="10">
        <v>275</v>
      </c>
      <c r="J938" s="9">
        <v>275</v>
      </c>
      <c r="K938" s="10">
        <v>325</v>
      </c>
      <c r="L938" s="9">
        <v>325</v>
      </c>
      <c r="M938" s="9">
        <v>550</v>
      </c>
      <c r="N938" s="9">
        <v>750</v>
      </c>
      <c r="O938" s="9">
        <v>650</v>
      </c>
      <c r="P938" s="9">
        <v>650</v>
      </c>
      <c r="Q938" s="9">
        <v>650</v>
      </c>
    </row>
    <row r="939" spans="1:17" ht="12.75">
      <c r="A939" s="3" t="s">
        <v>631</v>
      </c>
      <c r="B939" s="11" t="s">
        <v>632</v>
      </c>
      <c r="C939" s="36">
        <v>517000</v>
      </c>
      <c r="E939" s="3" t="s">
        <v>2222</v>
      </c>
      <c r="F939" s="19">
        <v>5068</v>
      </c>
      <c r="G939" s="19">
        <v>5670</v>
      </c>
      <c r="H939" s="19">
        <v>12430</v>
      </c>
      <c r="I939" s="10">
        <v>13779</v>
      </c>
      <c r="J939" s="9">
        <v>21452</v>
      </c>
      <c r="K939" s="10">
        <v>29566</v>
      </c>
      <c r="L939" s="9">
        <v>27093</v>
      </c>
      <c r="M939" s="9">
        <v>26589.53</v>
      </c>
      <c r="N939" s="9">
        <v>44416</v>
      </c>
      <c r="O939" s="9">
        <v>50148</v>
      </c>
      <c r="P939" s="9">
        <v>50148</v>
      </c>
      <c r="Q939" s="9">
        <v>49452</v>
      </c>
    </row>
    <row r="940" spans="1:17" ht="12.75">
      <c r="A940" s="3" t="s">
        <v>627</v>
      </c>
      <c r="B940" s="11" t="s">
        <v>628</v>
      </c>
      <c r="C940" s="36">
        <v>517200</v>
      </c>
      <c r="E940" s="3" t="s">
        <v>2216</v>
      </c>
      <c r="F940" s="19">
        <v>292</v>
      </c>
      <c r="G940" s="19">
        <v>219</v>
      </c>
      <c r="H940" s="19">
        <v>219</v>
      </c>
      <c r="I940" s="10">
        <v>219</v>
      </c>
      <c r="J940" s="9">
        <v>219</v>
      </c>
      <c r="K940" s="10">
        <v>219</v>
      </c>
      <c r="L940" s="9">
        <v>219</v>
      </c>
      <c r="M940" s="9">
        <v>684</v>
      </c>
      <c r="N940" s="9">
        <v>654</v>
      </c>
      <c r="O940" s="9">
        <v>622</v>
      </c>
      <c r="P940" s="9">
        <v>622</v>
      </c>
      <c r="Q940" s="9">
        <v>653</v>
      </c>
    </row>
    <row r="941" spans="1:15" ht="12.75" hidden="1">
      <c r="A941" s="3" t="s">
        <v>629</v>
      </c>
      <c r="B941" s="11" t="s">
        <v>630</v>
      </c>
      <c r="E941" s="3" t="s">
        <v>2219</v>
      </c>
      <c r="F941" s="19">
        <v>48</v>
      </c>
      <c r="G941" s="19">
        <v>48</v>
      </c>
      <c r="H941" s="19">
        <v>48</v>
      </c>
      <c r="I941" s="10">
        <v>0</v>
      </c>
      <c r="J941" s="9">
        <v>0</v>
      </c>
      <c r="K941" s="10">
        <v>0</v>
      </c>
      <c r="L941" s="9">
        <v>0</v>
      </c>
      <c r="M941" s="9">
        <v>0</v>
      </c>
      <c r="N941" s="9">
        <v>0</v>
      </c>
      <c r="O941" s="9">
        <v>0</v>
      </c>
    </row>
    <row r="942" spans="1:17" ht="12.75">
      <c r="A942" s="3" t="s">
        <v>633</v>
      </c>
      <c r="B942" s="11" t="s">
        <v>634</v>
      </c>
      <c r="C942" s="36">
        <v>517800</v>
      </c>
      <c r="E942" s="3" t="s">
        <v>2298</v>
      </c>
      <c r="F942" s="19">
        <v>625</v>
      </c>
      <c r="G942" s="19">
        <v>853</v>
      </c>
      <c r="H942" s="19">
        <v>971</v>
      </c>
      <c r="I942" s="10">
        <v>1730</v>
      </c>
      <c r="J942" s="9">
        <v>1220</v>
      </c>
      <c r="K942" s="10">
        <v>1780</v>
      </c>
      <c r="L942" s="9">
        <v>1780</v>
      </c>
      <c r="M942" s="9">
        <v>1450</v>
      </c>
      <c r="N942" s="9">
        <v>1450</v>
      </c>
      <c r="O942" s="9">
        <v>1450</v>
      </c>
      <c r="P942" s="9">
        <v>1450</v>
      </c>
      <c r="Q942" s="9">
        <v>2677</v>
      </c>
    </row>
    <row r="943" spans="1:17" ht="12.75">
      <c r="A943" s="3" t="s">
        <v>635</v>
      </c>
      <c r="B943" s="11" t="s">
        <v>636</v>
      </c>
      <c r="C943" s="36">
        <v>519900</v>
      </c>
      <c r="E943" s="3" t="s">
        <v>637</v>
      </c>
      <c r="F943" s="19">
        <v>400</v>
      </c>
      <c r="G943" s="19">
        <v>425</v>
      </c>
      <c r="H943" s="19">
        <v>425</v>
      </c>
      <c r="I943" s="10">
        <v>850</v>
      </c>
      <c r="J943" s="9">
        <v>850</v>
      </c>
      <c r="K943" s="10">
        <v>850</v>
      </c>
      <c r="L943" s="9">
        <v>850</v>
      </c>
      <c r="M943" s="9">
        <v>850</v>
      </c>
      <c r="N943" s="9">
        <v>1737.5</v>
      </c>
      <c r="O943" s="9">
        <v>1725</v>
      </c>
      <c r="P943" s="9">
        <v>1150</v>
      </c>
      <c r="Q943" s="9">
        <v>1150</v>
      </c>
    </row>
    <row r="944" spans="1:17" ht="12.75">
      <c r="A944" s="3" t="s">
        <v>623</v>
      </c>
      <c r="B944" s="11" t="s">
        <v>624</v>
      </c>
      <c r="C944" s="36">
        <v>531700</v>
      </c>
      <c r="E944" s="3" t="s">
        <v>321</v>
      </c>
      <c r="F944" s="19">
        <v>0</v>
      </c>
      <c r="G944" s="19">
        <v>1154</v>
      </c>
      <c r="H944" s="19">
        <v>96</v>
      </c>
      <c r="I944" s="10">
        <v>150</v>
      </c>
      <c r="J944" s="9">
        <v>0</v>
      </c>
      <c r="K944" s="10">
        <v>502</v>
      </c>
      <c r="L944" s="9">
        <v>330</v>
      </c>
      <c r="N944" s="9">
        <v>0</v>
      </c>
      <c r="O944" s="9">
        <v>1800</v>
      </c>
      <c r="P944" s="9">
        <v>1200</v>
      </c>
      <c r="Q944" s="9">
        <v>1200</v>
      </c>
    </row>
    <row r="945" spans="5:18" ht="12.75">
      <c r="E945" s="20" t="s">
        <v>2187</v>
      </c>
      <c r="F945" s="21">
        <f aca="true" t="shared" si="205" ref="F945:L945">SUM(F935:F944)</f>
        <v>82684</v>
      </c>
      <c r="G945" s="21">
        <f t="shared" si="205"/>
        <v>85394.98999999999</v>
      </c>
      <c r="H945" s="21">
        <f t="shared" si="205"/>
        <v>124622.12</v>
      </c>
      <c r="I945" s="22">
        <f t="shared" si="205"/>
        <v>167341.6</v>
      </c>
      <c r="J945" s="23">
        <f t="shared" si="205"/>
        <v>174157.32000000004</v>
      </c>
      <c r="K945" s="23">
        <f t="shared" si="205"/>
        <v>173020.55</v>
      </c>
      <c r="L945" s="7">
        <f t="shared" si="205"/>
        <v>171241.19</v>
      </c>
      <c r="M945" s="7">
        <f aca="true" t="shared" si="206" ref="M945:R945">SUM(M935:M944)</f>
        <v>159923.66</v>
      </c>
      <c r="N945" s="7">
        <f t="shared" si="206"/>
        <v>216136.2</v>
      </c>
      <c r="O945" s="7">
        <f t="shared" si="206"/>
        <v>202420</v>
      </c>
      <c r="P945" s="7">
        <f t="shared" si="206"/>
        <v>193090</v>
      </c>
      <c r="Q945" s="7">
        <f t="shared" si="206"/>
        <v>197193</v>
      </c>
      <c r="R945" s="7">
        <f t="shared" si="206"/>
        <v>0</v>
      </c>
    </row>
    <row r="946" spans="3:9" ht="12.75">
      <c r="C946" s="196">
        <v>12412</v>
      </c>
      <c r="D946" s="196"/>
      <c r="I946" s="10"/>
    </row>
    <row r="947" spans="1:17" ht="12.75">
      <c r="A947" s="3" t="s">
        <v>638</v>
      </c>
      <c r="B947" s="11" t="s">
        <v>639</v>
      </c>
      <c r="C947" s="36">
        <v>524500</v>
      </c>
      <c r="E947" s="3" t="s">
        <v>640</v>
      </c>
      <c r="F947" s="19">
        <v>563</v>
      </c>
      <c r="G947" s="19">
        <v>0</v>
      </c>
      <c r="H947" s="19">
        <v>118</v>
      </c>
      <c r="I947" s="10">
        <v>169.85</v>
      </c>
      <c r="J947" s="10">
        <v>231.5</v>
      </c>
      <c r="K947" s="10">
        <v>65</v>
      </c>
      <c r="L947" s="9">
        <v>0</v>
      </c>
      <c r="M947" s="9">
        <v>125</v>
      </c>
      <c r="N947" s="9">
        <v>0</v>
      </c>
      <c r="O947" s="9">
        <v>125</v>
      </c>
      <c r="P947" s="9">
        <v>125</v>
      </c>
      <c r="Q947" s="9">
        <v>200</v>
      </c>
    </row>
    <row r="948" spans="1:17" ht="12.75">
      <c r="A948" s="3" t="s">
        <v>641</v>
      </c>
      <c r="B948" s="11" t="s">
        <v>642</v>
      </c>
      <c r="C948" s="36">
        <v>530000</v>
      </c>
      <c r="E948" s="3" t="s">
        <v>2379</v>
      </c>
      <c r="F948" s="19">
        <v>8361</v>
      </c>
      <c r="G948" s="19">
        <v>5120</v>
      </c>
      <c r="H948" s="19">
        <v>14420</v>
      </c>
      <c r="I948" s="10">
        <v>2076.97</v>
      </c>
      <c r="J948" s="9">
        <v>900</v>
      </c>
      <c r="K948" s="10">
        <v>0</v>
      </c>
      <c r="L948" s="9">
        <v>2758.05</v>
      </c>
      <c r="M948" s="9">
        <v>1069</v>
      </c>
      <c r="N948" s="9">
        <v>1329.98</v>
      </c>
      <c r="O948" s="9">
        <v>1340</v>
      </c>
      <c r="P948" s="9">
        <v>1340</v>
      </c>
      <c r="Q948" s="9">
        <v>1875</v>
      </c>
    </row>
    <row r="949" spans="1:17" ht="12.75">
      <c r="A949" s="3" t="s">
        <v>652</v>
      </c>
      <c r="B949" s="11" t="s">
        <v>653</v>
      </c>
      <c r="C949" s="36">
        <v>531300</v>
      </c>
      <c r="E949" s="3" t="s">
        <v>654</v>
      </c>
      <c r="F949" s="19">
        <v>22650</v>
      </c>
      <c r="G949" s="19">
        <v>24539.77</v>
      </c>
      <c r="H949" s="19">
        <v>8770.91</v>
      </c>
      <c r="I949" s="10">
        <v>18907.24</v>
      </c>
      <c r="J949" s="10">
        <v>23867.48</v>
      </c>
      <c r="K949" s="10">
        <v>23528.94</v>
      </c>
      <c r="L949" s="9">
        <v>24515.21</v>
      </c>
      <c r="M949" s="9">
        <v>29140</v>
      </c>
      <c r="N949" s="9">
        <v>29628.68</v>
      </c>
      <c r="O949" s="9">
        <v>32000</v>
      </c>
      <c r="P949" s="9">
        <v>32000</v>
      </c>
      <c r="Q949" s="9">
        <v>34548</v>
      </c>
    </row>
    <row r="950" spans="1:17" ht="12.75">
      <c r="A950" s="3" t="s">
        <v>643</v>
      </c>
      <c r="B950" s="11" t="s">
        <v>644</v>
      </c>
      <c r="C950" s="36">
        <v>534600</v>
      </c>
      <c r="E950" s="3" t="s">
        <v>2473</v>
      </c>
      <c r="F950" s="19">
        <v>984</v>
      </c>
      <c r="G950" s="19">
        <v>658.9</v>
      </c>
      <c r="H950" s="19">
        <v>715</v>
      </c>
      <c r="I950" s="10">
        <v>796.57</v>
      </c>
      <c r="J950" s="9">
        <v>644.77</v>
      </c>
      <c r="K950" s="10">
        <v>489.34</v>
      </c>
      <c r="L950" s="9">
        <v>605.39</v>
      </c>
      <c r="M950" s="9">
        <v>659.48</v>
      </c>
      <c r="N950" s="9">
        <v>797.27</v>
      </c>
      <c r="O950" s="9">
        <v>700</v>
      </c>
      <c r="P950" s="9">
        <v>700</v>
      </c>
      <c r="Q950" s="9">
        <v>700</v>
      </c>
    </row>
    <row r="951" spans="1:18" ht="12.75" hidden="1">
      <c r="A951" s="3" t="s">
        <v>647</v>
      </c>
      <c r="B951" s="11" t="s">
        <v>648</v>
      </c>
      <c r="E951" s="3" t="s">
        <v>2617</v>
      </c>
      <c r="F951" s="19">
        <v>126</v>
      </c>
      <c r="G951" s="19">
        <v>189.75</v>
      </c>
      <c r="H951" s="19">
        <v>266.9</v>
      </c>
      <c r="I951" s="10">
        <v>45.95</v>
      </c>
      <c r="J951" s="9">
        <v>12</v>
      </c>
      <c r="K951" s="10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</row>
    <row r="952" spans="1:18" ht="12.75" hidden="1">
      <c r="A952" s="3" t="s">
        <v>649</v>
      </c>
      <c r="B952" s="11" t="s">
        <v>650</v>
      </c>
      <c r="E952" s="3" t="s">
        <v>651</v>
      </c>
      <c r="F952" s="19">
        <v>229</v>
      </c>
      <c r="G952" s="19">
        <v>260</v>
      </c>
      <c r="H952" s="19">
        <v>205.22</v>
      </c>
      <c r="I952" s="10">
        <v>258.5</v>
      </c>
      <c r="J952" s="9">
        <v>242.71</v>
      </c>
      <c r="K952" s="10">
        <v>95.5</v>
      </c>
      <c r="L952" s="9">
        <f aca="true" t="shared" si="207" ref="L952:R952">260-260</f>
        <v>0</v>
      </c>
      <c r="M952" s="9">
        <f t="shared" si="207"/>
        <v>0</v>
      </c>
      <c r="N952" s="9">
        <f t="shared" si="207"/>
        <v>0</v>
      </c>
      <c r="O952" s="9">
        <f t="shared" si="207"/>
        <v>0</v>
      </c>
      <c r="P952" s="9">
        <f t="shared" si="207"/>
        <v>0</v>
      </c>
      <c r="Q952" s="9">
        <f t="shared" si="207"/>
        <v>0</v>
      </c>
      <c r="R952" s="9">
        <f t="shared" si="207"/>
        <v>0</v>
      </c>
    </row>
    <row r="953" spans="1:17" ht="12.75">
      <c r="A953" s="3" t="s">
        <v>645</v>
      </c>
      <c r="B953" s="11" t="s">
        <v>646</v>
      </c>
      <c r="C953" s="36">
        <v>542100</v>
      </c>
      <c r="E953" s="3" t="s">
        <v>2335</v>
      </c>
      <c r="F953" s="19">
        <v>500</v>
      </c>
      <c r="G953" s="19">
        <v>499.91</v>
      </c>
      <c r="H953" s="19">
        <v>496</v>
      </c>
      <c r="I953" s="10">
        <v>525.3</v>
      </c>
      <c r="J953" s="10">
        <v>408.74</v>
      </c>
      <c r="K953" s="10">
        <v>434.94</v>
      </c>
      <c r="L953" s="9">
        <v>460.35</v>
      </c>
      <c r="M953" s="9">
        <v>423.68</v>
      </c>
      <c r="N953" s="9">
        <v>440.79</v>
      </c>
      <c r="O953" s="9">
        <v>500</v>
      </c>
      <c r="P953" s="9">
        <v>500</v>
      </c>
      <c r="Q953" s="9">
        <v>500</v>
      </c>
    </row>
    <row r="954" spans="1:17" ht="12.75">
      <c r="A954" s="3" t="s">
        <v>655</v>
      </c>
      <c r="B954" s="11" t="s">
        <v>656</v>
      </c>
      <c r="C954" s="36">
        <v>571000</v>
      </c>
      <c r="E954" s="3" t="s">
        <v>2270</v>
      </c>
      <c r="F954" s="19">
        <v>609</v>
      </c>
      <c r="G954" s="19">
        <v>125</v>
      </c>
      <c r="H954" s="19">
        <v>20</v>
      </c>
      <c r="I954" s="10">
        <v>927.36</v>
      </c>
      <c r="J954" s="10">
        <v>898.92</v>
      </c>
      <c r="K954" s="10">
        <v>679.65</v>
      </c>
      <c r="L954" s="9">
        <v>663.74</v>
      </c>
      <c r="M954" s="9">
        <v>527.44</v>
      </c>
      <c r="N954" s="9">
        <v>950.61</v>
      </c>
      <c r="O954" s="9">
        <v>882</v>
      </c>
      <c r="P954" s="9">
        <v>882</v>
      </c>
      <c r="Q954" s="9">
        <v>940</v>
      </c>
    </row>
    <row r="955" spans="1:14" ht="12.75" hidden="1">
      <c r="A955" s="3" t="s">
        <v>663</v>
      </c>
      <c r="B955" s="11" t="s">
        <v>664</v>
      </c>
      <c r="E955" s="3" t="s">
        <v>2350</v>
      </c>
      <c r="F955" s="19">
        <v>1500</v>
      </c>
      <c r="G955" s="19">
        <v>1450</v>
      </c>
      <c r="H955" s="19">
        <v>1700</v>
      </c>
      <c r="I955" s="10">
        <v>2120</v>
      </c>
      <c r="J955" s="10">
        <v>2125</v>
      </c>
      <c r="K955" s="10">
        <v>1874</v>
      </c>
      <c r="L955" s="9">
        <f>1500-300-1200</f>
        <v>0</v>
      </c>
      <c r="M955" s="9">
        <v>0</v>
      </c>
      <c r="N955" s="9">
        <v>0</v>
      </c>
    </row>
    <row r="956" spans="1:17" ht="12.75">
      <c r="A956" s="3" t="s">
        <v>665</v>
      </c>
      <c r="B956" s="11" t="s">
        <v>666</v>
      </c>
      <c r="C956" s="36">
        <v>573000</v>
      </c>
      <c r="E956" s="3" t="s">
        <v>667</v>
      </c>
      <c r="F956" s="19">
        <v>227</v>
      </c>
      <c r="G956" s="19">
        <v>150</v>
      </c>
      <c r="H956" s="19">
        <v>140</v>
      </c>
      <c r="I956" s="10">
        <v>295.26</v>
      </c>
      <c r="J956" s="9">
        <v>175</v>
      </c>
      <c r="K956" s="10">
        <v>200</v>
      </c>
      <c r="L956" s="9">
        <v>60</v>
      </c>
      <c r="M956" s="9">
        <v>60</v>
      </c>
      <c r="N956" s="9">
        <v>197.16</v>
      </c>
      <c r="O956" s="9">
        <v>200</v>
      </c>
      <c r="P956" s="9">
        <v>200</v>
      </c>
      <c r="Q956" s="9">
        <v>300</v>
      </c>
    </row>
    <row r="957" spans="5:18" ht="12.75">
      <c r="E957" s="20" t="s">
        <v>2274</v>
      </c>
      <c r="F957" s="21">
        <f aca="true" t="shared" si="208" ref="F957:K957">SUM(F954:F956)</f>
        <v>2336</v>
      </c>
      <c r="G957" s="21">
        <f t="shared" si="208"/>
        <v>1725</v>
      </c>
      <c r="H957" s="21">
        <f t="shared" si="208"/>
        <v>1860</v>
      </c>
      <c r="I957" s="22">
        <f t="shared" si="208"/>
        <v>3342.62</v>
      </c>
      <c r="J957" s="23">
        <f t="shared" si="208"/>
        <v>3198.92</v>
      </c>
      <c r="K957" s="23">
        <f t="shared" si="208"/>
        <v>2753.65</v>
      </c>
      <c r="L957" s="7">
        <f>SUM(L947:L956)</f>
        <v>29062.739999999998</v>
      </c>
      <c r="M957" s="7">
        <f aca="true" t="shared" si="209" ref="M957:R957">SUM(M947:M956)</f>
        <v>32004.6</v>
      </c>
      <c r="N957" s="7">
        <f t="shared" si="209"/>
        <v>33344.490000000005</v>
      </c>
      <c r="O957" s="7">
        <f t="shared" si="209"/>
        <v>35747</v>
      </c>
      <c r="P957" s="7">
        <f t="shared" si="209"/>
        <v>35747</v>
      </c>
      <c r="Q957" s="7">
        <f t="shared" si="209"/>
        <v>39063</v>
      </c>
      <c r="R957" s="7">
        <f t="shared" si="209"/>
        <v>0</v>
      </c>
    </row>
    <row r="958" spans="5:9" ht="6" customHeight="1">
      <c r="E958" s="20"/>
      <c r="I958" s="10"/>
    </row>
    <row r="959" spans="1:18" ht="12.75" hidden="1">
      <c r="A959" s="3" t="s">
        <v>668</v>
      </c>
      <c r="B959" s="11" t="s">
        <v>669</v>
      </c>
      <c r="E959" s="3" t="s">
        <v>2276</v>
      </c>
      <c r="F959" s="19">
        <v>5378</v>
      </c>
      <c r="G959" s="19">
        <v>4466.93</v>
      </c>
      <c r="H959" s="19">
        <v>13789.42</v>
      </c>
      <c r="I959" s="10">
        <v>0</v>
      </c>
      <c r="J959" s="10">
        <v>0</v>
      </c>
      <c r="K959" s="10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0</v>
      </c>
      <c r="R959" s="9">
        <v>0</v>
      </c>
    </row>
    <row r="960" spans="2:18" ht="12.75" hidden="1">
      <c r="B960" s="65"/>
      <c r="C960" s="41"/>
      <c r="D960" s="41"/>
      <c r="E960" s="20" t="s">
        <v>2277</v>
      </c>
      <c r="F960" s="21">
        <f aca="true" t="shared" si="210" ref="F960:L960">SUM(F959)</f>
        <v>5378</v>
      </c>
      <c r="G960" s="21">
        <f t="shared" si="210"/>
        <v>4466.93</v>
      </c>
      <c r="H960" s="21">
        <f t="shared" si="210"/>
        <v>13789.42</v>
      </c>
      <c r="I960" s="22">
        <f t="shared" si="210"/>
        <v>0</v>
      </c>
      <c r="J960" s="23">
        <f t="shared" si="210"/>
        <v>0</v>
      </c>
      <c r="K960" s="23">
        <f t="shared" si="210"/>
        <v>0</v>
      </c>
      <c r="L960" s="7">
        <f t="shared" si="210"/>
        <v>0</v>
      </c>
      <c r="M960" s="7">
        <f aca="true" t="shared" si="211" ref="M960:R960">SUM(M959)</f>
        <v>0</v>
      </c>
      <c r="N960" s="7">
        <f t="shared" si="211"/>
        <v>0</v>
      </c>
      <c r="O960" s="7">
        <f t="shared" si="211"/>
        <v>0</v>
      </c>
      <c r="P960" s="7">
        <f t="shared" si="211"/>
        <v>0</v>
      </c>
      <c r="Q960" s="7">
        <f t="shared" si="211"/>
        <v>0</v>
      </c>
      <c r="R960" s="7">
        <f t="shared" si="211"/>
        <v>0</v>
      </c>
    </row>
    <row r="961" spans="2:10" ht="12.75">
      <c r="B961" s="65"/>
      <c r="C961" s="41"/>
      <c r="D961" s="41"/>
      <c r="E961" s="20"/>
      <c r="F961" s="21"/>
      <c r="G961" s="21"/>
      <c r="H961" s="21"/>
      <c r="I961" s="22"/>
      <c r="J961" s="23"/>
    </row>
    <row r="962" spans="5:18" ht="12.75">
      <c r="E962" s="2" t="s">
        <v>670</v>
      </c>
      <c r="F962" s="31">
        <f aca="true" t="shared" si="212" ref="F962:K962">SUM(F935:F960)/2</f>
        <v>107104.5</v>
      </c>
      <c r="G962" s="31">
        <f t="shared" si="212"/>
        <v>107221.08499999998</v>
      </c>
      <c r="H962" s="31">
        <f t="shared" si="212"/>
        <v>152767.55499999996</v>
      </c>
      <c r="I962" s="28">
        <f t="shared" si="212"/>
        <v>182074.40999999997</v>
      </c>
      <c r="J962" s="28">
        <f t="shared" si="212"/>
        <v>190509.84000000003</v>
      </c>
      <c r="K962" s="28">
        <f t="shared" si="212"/>
        <v>188081.06000000003</v>
      </c>
      <c r="L962" s="32">
        <f>SUM(L935:L960)/2</f>
        <v>200303.93</v>
      </c>
      <c r="M962" s="32">
        <f aca="true" t="shared" si="213" ref="M962:R962">SUM(M935:M960)/2</f>
        <v>191928.25999999998</v>
      </c>
      <c r="N962" s="32">
        <f t="shared" si="213"/>
        <v>249480.68999999997</v>
      </c>
      <c r="O962" s="32">
        <f t="shared" si="213"/>
        <v>238167</v>
      </c>
      <c r="P962" s="32">
        <f t="shared" si="213"/>
        <v>228837</v>
      </c>
      <c r="Q962" s="32">
        <f t="shared" si="213"/>
        <v>236256</v>
      </c>
      <c r="R962" s="32">
        <f t="shared" si="213"/>
        <v>0</v>
      </c>
    </row>
    <row r="963" spans="5:9" ht="12.75">
      <c r="E963" s="38"/>
      <c r="I963" s="10"/>
    </row>
    <row r="964" spans="5:18" ht="12.75">
      <c r="E964" s="20" t="s">
        <v>671</v>
      </c>
      <c r="F964" s="25">
        <f aca="true" t="shared" si="214" ref="F964:L964">SUM(F841:F962)/3</f>
        <v>393261.5</v>
      </c>
      <c r="G964" s="25">
        <f t="shared" si="214"/>
        <v>425406.50499999995</v>
      </c>
      <c r="H964" s="25">
        <f t="shared" si="214"/>
        <v>506938.6199999999</v>
      </c>
      <c r="I964" s="23">
        <f t="shared" si="214"/>
        <v>662828.6950000001</v>
      </c>
      <c r="J964" s="23">
        <f t="shared" si="214"/>
        <v>721165.2649999998</v>
      </c>
      <c r="K964" s="23">
        <f t="shared" si="214"/>
        <v>677170.7400000001</v>
      </c>
      <c r="L964" s="7">
        <f t="shared" si="214"/>
        <v>682760.3299999998</v>
      </c>
      <c r="M964" s="7">
        <f aca="true" t="shared" si="215" ref="M964:R964">SUM(M841:M962)/3</f>
        <v>632050.5499999999</v>
      </c>
      <c r="N964" s="7">
        <f t="shared" si="215"/>
        <v>647367.58</v>
      </c>
      <c r="O964" s="7">
        <f t="shared" si="215"/>
        <v>783668</v>
      </c>
      <c r="P964" s="7">
        <f t="shared" si="215"/>
        <v>735790</v>
      </c>
      <c r="Q964" s="7">
        <f t="shared" si="215"/>
        <v>824382</v>
      </c>
      <c r="R964" s="7">
        <f t="shared" si="215"/>
        <v>0</v>
      </c>
    </row>
    <row r="967" spans="1:10" ht="12.75">
      <c r="A967" s="3" t="s">
        <v>2180</v>
      </c>
      <c r="E967" s="163" t="s">
        <v>2792</v>
      </c>
      <c r="J967" s="10"/>
    </row>
    <row r="968" spans="3:4" ht="12.75">
      <c r="C968" s="196">
        <v>14211</v>
      </c>
      <c r="D968" s="196"/>
    </row>
    <row r="969" spans="1:17" ht="12.75">
      <c r="A969" s="3" t="s">
        <v>672</v>
      </c>
      <c r="B969" s="11" t="s">
        <v>673</v>
      </c>
      <c r="C969" s="36">
        <v>511000</v>
      </c>
      <c r="E969" s="3" t="s">
        <v>617</v>
      </c>
      <c r="F969" s="19">
        <v>192699</v>
      </c>
      <c r="G969" s="19">
        <v>201064.92</v>
      </c>
      <c r="H969" s="19">
        <v>210124.75</v>
      </c>
      <c r="I969" s="10">
        <v>202270.25</v>
      </c>
      <c r="J969" s="9">
        <v>208941.68</v>
      </c>
      <c r="K969" s="10">
        <v>200587.21</v>
      </c>
      <c r="L969" s="9">
        <v>187336.02</v>
      </c>
      <c r="M969" s="9">
        <v>150826.63</v>
      </c>
      <c r="N969" s="9">
        <v>183816.75</v>
      </c>
      <c r="O969" s="9">
        <v>212929</v>
      </c>
      <c r="P969" s="9">
        <v>214590</v>
      </c>
      <c r="Q969" s="9">
        <v>218178</v>
      </c>
    </row>
    <row r="970" spans="1:17" ht="12.75">
      <c r="A970" s="3" t="s">
        <v>676</v>
      </c>
      <c r="B970" s="11" t="s">
        <v>677</v>
      </c>
      <c r="C970" s="36">
        <v>514001</v>
      </c>
      <c r="E970" s="3" t="s">
        <v>678</v>
      </c>
      <c r="F970" s="19">
        <v>0</v>
      </c>
      <c r="G970" s="19">
        <v>0</v>
      </c>
      <c r="H970" s="19">
        <v>700</v>
      </c>
      <c r="I970" s="10">
        <v>1350</v>
      </c>
      <c r="J970" s="9">
        <v>1350</v>
      </c>
      <c r="K970" s="10">
        <v>0</v>
      </c>
      <c r="L970" s="9">
        <v>1350</v>
      </c>
      <c r="M970" s="9">
        <v>1350</v>
      </c>
      <c r="N970" s="9">
        <v>0</v>
      </c>
      <c r="O970" s="9">
        <v>1320</v>
      </c>
      <c r="P970" s="9">
        <v>1320</v>
      </c>
      <c r="Q970" s="9">
        <v>1320</v>
      </c>
    </row>
    <row r="971" spans="1:17" ht="12.75">
      <c r="A971" s="3" t="s">
        <v>687</v>
      </c>
      <c r="B971" s="11" t="s">
        <v>688</v>
      </c>
      <c r="C971" s="36">
        <v>514400</v>
      </c>
      <c r="E971" s="3" t="s">
        <v>689</v>
      </c>
      <c r="F971" s="19">
        <v>2302</v>
      </c>
      <c r="G971" s="19">
        <v>2128</v>
      </c>
      <c r="H971" s="19">
        <v>2368</v>
      </c>
      <c r="I971" s="10">
        <v>6414</v>
      </c>
      <c r="J971" s="9">
        <v>3104</v>
      </c>
      <c r="K971" s="10">
        <v>5760</v>
      </c>
      <c r="L971" s="9">
        <v>4260</v>
      </c>
      <c r="M971" s="9">
        <v>5890</v>
      </c>
      <c r="N971" s="9">
        <v>3680</v>
      </c>
      <c r="O971" s="9">
        <v>6750</v>
      </c>
      <c r="P971" s="9">
        <v>6750</v>
      </c>
      <c r="Q971" s="9">
        <v>6750</v>
      </c>
    </row>
    <row r="972" spans="1:16" ht="12.75">
      <c r="A972" s="3" t="s">
        <v>674</v>
      </c>
      <c r="B972" s="11" t="s">
        <v>675</v>
      </c>
      <c r="C972" s="36">
        <v>514800</v>
      </c>
      <c r="E972" s="3" t="s">
        <v>2288</v>
      </c>
      <c r="F972" s="19">
        <v>625</v>
      </c>
      <c r="G972" s="19">
        <v>550</v>
      </c>
      <c r="H972" s="19">
        <v>550</v>
      </c>
      <c r="I972" s="10">
        <v>531.31</v>
      </c>
      <c r="J972" s="9">
        <v>375</v>
      </c>
      <c r="K972" s="10">
        <v>375</v>
      </c>
      <c r="L972" s="9">
        <v>375</v>
      </c>
      <c r="M972" s="9">
        <v>287.5</v>
      </c>
      <c r="N972" s="9">
        <v>325</v>
      </c>
      <c r="O972" s="9">
        <v>275</v>
      </c>
      <c r="P972" s="9">
        <v>115</v>
      </c>
    </row>
    <row r="973" spans="1:17" ht="12.75">
      <c r="A973" s="3" t="s">
        <v>683</v>
      </c>
      <c r="B973" s="11" t="s">
        <v>684</v>
      </c>
      <c r="C973" s="36">
        <v>517000</v>
      </c>
      <c r="E973" s="3" t="s">
        <v>2222</v>
      </c>
      <c r="F973" s="19">
        <v>21392</v>
      </c>
      <c r="G973" s="19">
        <v>20322</v>
      </c>
      <c r="H973" s="19">
        <v>29748</v>
      </c>
      <c r="I973" s="10">
        <v>24646</v>
      </c>
      <c r="J973" s="9">
        <v>31125</v>
      </c>
      <c r="K973" s="10">
        <v>32542</v>
      </c>
      <c r="L973" s="9">
        <v>37722</v>
      </c>
      <c r="M973" s="9">
        <v>37009.55</v>
      </c>
      <c r="N973" s="9">
        <v>38968</v>
      </c>
      <c r="O973" s="9">
        <v>43925</v>
      </c>
      <c r="P973" s="9">
        <v>43925</v>
      </c>
      <c r="Q973" s="9">
        <v>46900</v>
      </c>
    </row>
    <row r="974" spans="1:17" ht="12.75">
      <c r="A974" s="3" t="s">
        <v>679</v>
      </c>
      <c r="B974" s="11" t="s">
        <v>680</v>
      </c>
      <c r="C974" s="36">
        <v>517200</v>
      </c>
      <c r="E974" s="3" t="s">
        <v>2291</v>
      </c>
      <c r="F974" s="19">
        <v>242</v>
      </c>
      <c r="G974" s="19">
        <v>182</v>
      </c>
      <c r="H974" s="19">
        <v>182</v>
      </c>
      <c r="I974" s="10">
        <v>182</v>
      </c>
      <c r="J974" s="9">
        <v>182</v>
      </c>
      <c r="K974" s="10">
        <v>182</v>
      </c>
      <c r="L974" s="9">
        <v>182</v>
      </c>
      <c r="M974" s="9">
        <v>1379</v>
      </c>
      <c r="N974" s="9">
        <v>1320</v>
      </c>
      <c r="O974" s="9">
        <v>1254</v>
      </c>
      <c r="P974" s="9">
        <v>1254</v>
      </c>
      <c r="Q974" s="9">
        <v>1317</v>
      </c>
    </row>
    <row r="975" spans="1:17" ht="12.75">
      <c r="A975" s="3" t="s">
        <v>685</v>
      </c>
      <c r="B975" s="11" t="s">
        <v>686</v>
      </c>
      <c r="C975" s="36">
        <v>517800</v>
      </c>
      <c r="E975" s="3" t="s">
        <v>2298</v>
      </c>
      <c r="F975" s="19">
        <v>280</v>
      </c>
      <c r="G975" s="19">
        <v>296</v>
      </c>
      <c r="H975" s="19">
        <v>756</v>
      </c>
      <c r="I975" s="10">
        <v>820</v>
      </c>
      <c r="J975" s="9">
        <v>760</v>
      </c>
      <c r="K975" s="10">
        <v>450</v>
      </c>
      <c r="L975" s="9">
        <v>450</v>
      </c>
      <c r="M975" s="9">
        <v>3200</v>
      </c>
      <c r="N975" s="9">
        <v>2883</v>
      </c>
      <c r="O975" s="9">
        <v>2883</v>
      </c>
      <c r="P975" s="9">
        <v>2883</v>
      </c>
      <c r="Q975" s="9">
        <v>3317</v>
      </c>
    </row>
    <row r="976" spans="1:17" ht="12.75">
      <c r="A976" s="3" t="s">
        <v>681</v>
      </c>
      <c r="B976" s="11" t="s">
        <v>682</v>
      </c>
      <c r="C976" s="36">
        <v>517900</v>
      </c>
      <c r="E976" s="3" t="s">
        <v>2219</v>
      </c>
      <c r="F976" s="19">
        <v>72</v>
      </c>
      <c r="G976" s="19">
        <v>72</v>
      </c>
      <c r="H976" s="19">
        <v>72</v>
      </c>
      <c r="I976" s="10">
        <v>0</v>
      </c>
      <c r="J976" s="9">
        <v>72</v>
      </c>
      <c r="K976" s="10">
        <v>72</v>
      </c>
      <c r="L976" s="9">
        <v>72</v>
      </c>
      <c r="M976" s="9">
        <v>72</v>
      </c>
      <c r="N976" s="9">
        <v>72</v>
      </c>
      <c r="O976" s="9">
        <v>72</v>
      </c>
      <c r="P976" s="9">
        <v>72</v>
      </c>
      <c r="Q976" s="9">
        <v>227</v>
      </c>
    </row>
    <row r="977" spans="1:17" ht="12.75">
      <c r="A977" s="3" t="s">
        <v>694</v>
      </c>
      <c r="B977" s="11" t="s">
        <v>695</v>
      </c>
      <c r="C977" s="36">
        <v>519700</v>
      </c>
      <c r="E977" s="3" t="s">
        <v>696</v>
      </c>
      <c r="F977" s="19">
        <v>123</v>
      </c>
      <c r="G977" s="19">
        <v>94.25</v>
      </c>
      <c r="H977" s="19">
        <v>476.22</v>
      </c>
      <c r="I977" s="10">
        <v>212.5</v>
      </c>
      <c r="J977" s="9">
        <v>176.25</v>
      </c>
      <c r="K977" s="10">
        <v>240</v>
      </c>
      <c r="L977" s="9">
        <v>220</v>
      </c>
      <c r="M977" s="9">
        <v>392.5</v>
      </c>
      <c r="N977" s="9">
        <v>195</v>
      </c>
      <c r="O977" s="9">
        <v>420</v>
      </c>
      <c r="P977" s="9">
        <v>420</v>
      </c>
      <c r="Q977" s="9">
        <v>420</v>
      </c>
    </row>
    <row r="978" spans="1:17" ht="12.75">
      <c r="A978" s="3" t="s">
        <v>690</v>
      </c>
      <c r="B978" s="11" t="s">
        <v>691</v>
      </c>
      <c r="C978" s="36">
        <v>519800</v>
      </c>
      <c r="E978" s="3" t="s">
        <v>2692</v>
      </c>
      <c r="F978" s="19">
        <v>180</v>
      </c>
      <c r="G978" s="19">
        <v>235.95</v>
      </c>
      <c r="H978" s="19">
        <v>965.83</v>
      </c>
      <c r="I978" s="10">
        <v>822.35</v>
      </c>
      <c r="J978" s="9">
        <v>981.5</v>
      </c>
      <c r="K978" s="10">
        <v>1495</v>
      </c>
      <c r="L978" s="9">
        <v>1299.48</v>
      </c>
      <c r="M978" s="9">
        <v>1472</v>
      </c>
      <c r="N978" s="9">
        <v>1255</v>
      </c>
      <c r="O978" s="9">
        <v>1500</v>
      </c>
      <c r="P978" s="9">
        <v>1500</v>
      </c>
      <c r="Q978" s="9">
        <v>1500</v>
      </c>
    </row>
    <row r="979" spans="1:17" ht="12.75">
      <c r="A979" s="3" t="s">
        <v>692</v>
      </c>
      <c r="B979" s="11" t="s">
        <v>693</v>
      </c>
      <c r="C979" s="36">
        <v>519900</v>
      </c>
      <c r="E979" s="3" t="s">
        <v>588</v>
      </c>
      <c r="F979" s="19">
        <v>10424</v>
      </c>
      <c r="G979" s="19">
        <v>11147.78</v>
      </c>
      <c r="H979" s="19">
        <v>11260.15</v>
      </c>
      <c r="I979" s="10">
        <v>9755.85</v>
      </c>
      <c r="J979" s="9">
        <v>12596.8</v>
      </c>
      <c r="K979" s="10">
        <v>13144.48</v>
      </c>
      <c r="L979" s="9">
        <v>13228.01</v>
      </c>
      <c r="M979" s="9">
        <v>13372.42</v>
      </c>
      <c r="N979" s="9">
        <v>26230.56</v>
      </c>
      <c r="O979" s="9">
        <v>16600</v>
      </c>
      <c r="P979" s="9">
        <v>16600</v>
      </c>
      <c r="Q979" s="9">
        <v>16600</v>
      </c>
    </row>
    <row r="980" spans="2:13" ht="12.75">
      <c r="B980" s="11">
        <v>6061.5</v>
      </c>
      <c r="C980" s="36">
        <v>513000</v>
      </c>
      <c r="E980" s="3" t="s">
        <v>738</v>
      </c>
      <c r="I980" s="10"/>
      <c r="K980" s="10"/>
      <c r="M980" s="9">
        <v>25000</v>
      </c>
    </row>
    <row r="981" spans="5:18" ht="12.75">
      <c r="E981" s="20" t="s">
        <v>2187</v>
      </c>
      <c r="F981" s="21">
        <f aca="true" t="shared" si="216" ref="F981:L981">SUM(F969:F980)</f>
        <v>228339</v>
      </c>
      <c r="G981" s="21">
        <f t="shared" si="216"/>
        <v>236092.90000000002</v>
      </c>
      <c r="H981" s="21">
        <f t="shared" si="216"/>
        <v>257202.94999999998</v>
      </c>
      <c r="I981" s="22">
        <f t="shared" si="216"/>
        <v>247004.26</v>
      </c>
      <c r="J981" s="23">
        <f t="shared" si="216"/>
        <v>259664.22999999998</v>
      </c>
      <c r="K981" s="23">
        <f t="shared" si="216"/>
        <v>254847.69</v>
      </c>
      <c r="L981" s="7">
        <f t="shared" si="216"/>
        <v>246494.51</v>
      </c>
      <c r="M981" s="7">
        <f aca="true" t="shared" si="217" ref="M981:R981">SUM(M969:M980)</f>
        <v>240251.6</v>
      </c>
      <c r="N981" s="7">
        <f t="shared" si="217"/>
        <v>258745.31</v>
      </c>
      <c r="O981" s="7">
        <f t="shared" si="217"/>
        <v>287928</v>
      </c>
      <c r="P981" s="7">
        <f t="shared" si="217"/>
        <v>289429</v>
      </c>
      <c r="Q981" s="7">
        <f t="shared" si="217"/>
        <v>296529</v>
      </c>
      <c r="R981" s="7">
        <f t="shared" si="217"/>
        <v>0</v>
      </c>
    </row>
    <row r="982" spans="3:9" ht="12.75">
      <c r="C982" s="196">
        <v>14212</v>
      </c>
      <c r="D982" s="196"/>
      <c r="I982" s="10"/>
    </row>
    <row r="983" spans="1:18" ht="12.75" hidden="1">
      <c r="A983" s="3" t="s">
        <v>697</v>
      </c>
      <c r="B983" s="11" t="s">
        <v>698</v>
      </c>
      <c r="E983" s="3" t="s">
        <v>699</v>
      </c>
      <c r="F983" s="19">
        <v>4052</v>
      </c>
      <c r="G983" s="19">
        <v>4203.73</v>
      </c>
      <c r="H983" s="19">
        <v>7.96</v>
      </c>
      <c r="I983" s="10">
        <v>0</v>
      </c>
      <c r="J983" s="10">
        <v>0</v>
      </c>
      <c r="K983" s="10">
        <v>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v>0</v>
      </c>
      <c r="R983" s="9">
        <v>0</v>
      </c>
    </row>
    <row r="984" spans="1:17" ht="12.75">
      <c r="A984" s="3" t="s">
        <v>705</v>
      </c>
      <c r="B984" s="11" t="s">
        <v>706</v>
      </c>
      <c r="C984" s="36">
        <v>524500</v>
      </c>
      <c r="E984" s="3" t="s">
        <v>707</v>
      </c>
      <c r="F984" s="19">
        <v>2514</v>
      </c>
      <c r="G984" s="19">
        <v>2455.2</v>
      </c>
      <c r="H984" s="19">
        <v>2560.06</v>
      </c>
      <c r="I984" s="10">
        <v>2679.86</v>
      </c>
      <c r="J984" s="9">
        <v>634.23</v>
      </c>
      <c r="K984" s="10">
        <v>4812.58</v>
      </c>
      <c r="L984" s="9">
        <v>2800</v>
      </c>
      <c r="M984" s="9">
        <v>2706.64</v>
      </c>
      <c r="N984" s="9">
        <v>2185.4</v>
      </c>
      <c r="O984" s="9">
        <v>2800</v>
      </c>
      <c r="P984" s="9">
        <v>2800</v>
      </c>
      <c r="Q984" s="9">
        <v>2940</v>
      </c>
    </row>
    <row r="985" spans="1:17" ht="12.75">
      <c r="A985" s="3" t="s">
        <v>700</v>
      </c>
      <c r="B985" s="11" t="s">
        <v>701</v>
      </c>
      <c r="C985" s="36">
        <v>530001</v>
      </c>
      <c r="E985" s="3" t="s">
        <v>702</v>
      </c>
      <c r="F985" s="19">
        <v>310</v>
      </c>
      <c r="G985" s="19">
        <v>0</v>
      </c>
      <c r="H985" s="19">
        <v>340</v>
      </c>
      <c r="I985" s="10">
        <v>995</v>
      </c>
      <c r="J985" s="9">
        <v>425</v>
      </c>
      <c r="K985" s="10">
        <v>0</v>
      </c>
      <c r="L985" s="9">
        <v>125</v>
      </c>
      <c r="M985" s="9">
        <v>565</v>
      </c>
      <c r="N985" s="9">
        <v>480</v>
      </c>
      <c r="O985" s="9">
        <v>480</v>
      </c>
      <c r="P985" s="9">
        <v>480</v>
      </c>
      <c r="Q985" s="9">
        <v>480</v>
      </c>
    </row>
    <row r="986" spans="1:17" ht="12.75">
      <c r="A986" s="3" t="s">
        <v>712</v>
      </c>
      <c r="B986" s="11" t="s">
        <v>713</v>
      </c>
      <c r="C986" s="36">
        <v>530600</v>
      </c>
      <c r="E986" s="3" t="s">
        <v>498</v>
      </c>
      <c r="F986" s="19">
        <v>78</v>
      </c>
      <c r="G986" s="19">
        <v>110.1</v>
      </c>
      <c r="H986" s="19">
        <v>143.94</v>
      </c>
      <c r="I986" s="10">
        <v>0</v>
      </c>
      <c r="J986" s="9">
        <v>115</v>
      </c>
      <c r="K986" s="10">
        <v>39.99</v>
      </c>
      <c r="L986" s="9">
        <v>111.84</v>
      </c>
      <c r="M986" s="9">
        <v>152.82</v>
      </c>
      <c r="N986" s="9">
        <v>147.32</v>
      </c>
      <c r="O986" s="9">
        <v>155</v>
      </c>
      <c r="P986" s="9">
        <v>155</v>
      </c>
      <c r="Q986" s="9">
        <v>155</v>
      </c>
    </row>
    <row r="987" spans="1:17" ht="12.75">
      <c r="A987" s="3" t="s">
        <v>703</v>
      </c>
      <c r="B987" s="11" t="s">
        <v>704</v>
      </c>
      <c r="C987" s="36">
        <v>531900</v>
      </c>
      <c r="E987" s="3" t="s">
        <v>2198</v>
      </c>
      <c r="F987" s="19">
        <v>1056</v>
      </c>
      <c r="G987" s="19">
        <v>856.02</v>
      </c>
      <c r="H987" s="19">
        <v>963.37</v>
      </c>
      <c r="I987" s="10">
        <v>517.91</v>
      </c>
      <c r="J987" s="9">
        <v>823.57</v>
      </c>
      <c r="K987" s="10">
        <v>662.52</v>
      </c>
      <c r="L987" s="9">
        <v>1344.76</v>
      </c>
      <c r="M987" s="9">
        <v>403.34</v>
      </c>
      <c r="N987" s="9">
        <v>1426.76</v>
      </c>
      <c r="O987" s="9">
        <v>1000</v>
      </c>
      <c r="P987" s="9">
        <v>1000</v>
      </c>
      <c r="Q987" s="9">
        <v>1050</v>
      </c>
    </row>
    <row r="988" spans="1:17" ht="12.75">
      <c r="A988" s="3" t="s">
        <v>708</v>
      </c>
      <c r="B988" s="11" t="s">
        <v>709</v>
      </c>
      <c r="C988" s="36">
        <v>542100</v>
      </c>
      <c r="E988" s="3" t="s">
        <v>2335</v>
      </c>
      <c r="F988" s="19">
        <v>983</v>
      </c>
      <c r="G988" s="19">
        <v>1755.42</v>
      </c>
      <c r="H988" s="19">
        <v>1234.3</v>
      </c>
      <c r="I988" s="10">
        <v>1440.76</v>
      </c>
      <c r="J988" s="10">
        <v>1637.86</v>
      </c>
      <c r="K988" s="10">
        <v>1329.65</v>
      </c>
      <c r="L988" s="9">
        <v>1350</v>
      </c>
      <c r="M988" s="9">
        <v>1340.43</v>
      </c>
      <c r="N988" s="9">
        <v>2187.37</v>
      </c>
      <c r="O988" s="9">
        <v>2200</v>
      </c>
      <c r="P988" s="9">
        <v>2200</v>
      </c>
      <c r="Q988" s="9">
        <v>2310</v>
      </c>
    </row>
    <row r="989" spans="1:17" ht="12.75">
      <c r="A989" s="3" t="s">
        <v>714</v>
      </c>
      <c r="B989" s="11" t="s">
        <v>715</v>
      </c>
      <c r="C989" s="36">
        <v>550000</v>
      </c>
      <c r="E989" s="3" t="s">
        <v>400</v>
      </c>
      <c r="F989" s="19">
        <v>442</v>
      </c>
      <c r="G989" s="19">
        <v>210.14</v>
      </c>
      <c r="H989" s="19">
        <v>735.29</v>
      </c>
      <c r="I989" s="10">
        <v>723.95</v>
      </c>
      <c r="J989" s="9">
        <v>675.62</v>
      </c>
      <c r="K989" s="10">
        <v>747.2</v>
      </c>
      <c r="L989" s="9">
        <v>722.46</v>
      </c>
      <c r="M989" s="9">
        <v>743.79</v>
      </c>
      <c r="N989" s="9">
        <v>319.86</v>
      </c>
      <c r="O989" s="9">
        <v>750</v>
      </c>
      <c r="P989" s="9">
        <v>750</v>
      </c>
      <c r="Q989" s="9">
        <v>750</v>
      </c>
    </row>
    <row r="990" spans="1:17" ht="12.75">
      <c r="A990" s="3" t="s">
        <v>716</v>
      </c>
      <c r="B990" s="11" t="s">
        <v>717</v>
      </c>
      <c r="C990" s="36">
        <v>553100</v>
      </c>
      <c r="E990" s="3" t="s">
        <v>718</v>
      </c>
      <c r="F990" s="19">
        <v>1589</v>
      </c>
      <c r="G990" s="19">
        <v>1911.1</v>
      </c>
      <c r="H990" s="19">
        <v>3468.66</v>
      </c>
      <c r="I990" s="10">
        <v>1919.79</v>
      </c>
      <c r="J990" s="9">
        <v>1781.03</v>
      </c>
      <c r="K990" s="10">
        <v>1997.72</v>
      </c>
      <c r="L990" s="9">
        <v>1910.74</v>
      </c>
      <c r="M990" s="9">
        <v>1988.75</v>
      </c>
      <c r="N990" s="9">
        <v>1630.98</v>
      </c>
      <c r="O990" s="9">
        <v>2000</v>
      </c>
      <c r="P990" s="9">
        <v>2000</v>
      </c>
      <c r="Q990" s="9">
        <v>2100</v>
      </c>
    </row>
    <row r="991" spans="1:17" ht="12.75">
      <c r="A991" s="3" t="s">
        <v>719</v>
      </c>
      <c r="B991" s="11" t="s">
        <v>720</v>
      </c>
      <c r="C991" s="36">
        <v>571000</v>
      </c>
      <c r="E991" s="3" t="s">
        <v>2389</v>
      </c>
      <c r="F991" s="19">
        <v>115</v>
      </c>
      <c r="G991" s="19">
        <v>174</v>
      </c>
      <c r="H991" s="19">
        <v>6.2</v>
      </c>
      <c r="I991" s="10">
        <v>50</v>
      </c>
      <c r="J991" s="10">
        <v>3.2</v>
      </c>
      <c r="K991" s="10">
        <v>54.7</v>
      </c>
      <c r="L991" s="9">
        <v>181.63</v>
      </c>
      <c r="M991" s="9">
        <v>493.2</v>
      </c>
      <c r="N991" s="9">
        <v>1776.48</v>
      </c>
      <c r="O991" s="9">
        <v>5500</v>
      </c>
      <c r="P991" s="9">
        <v>5500</v>
      </c>
      <c r="Q991" s="9">
        <v>5500</v>
      </c>
    </row>
    <row r="992" spans="1:17" ht="12.75">
      <c r="A992" s="3" t="s">
        <v>721</v>
      </c>
      <c r="B992" s="11" t="s">
        <v>722</v>
      </c>
      <c r="C992" s="36">
        <v>573000</v>
      </c>
      <c r="E992" s="3" t="s">
        <v>2395</v>
      </c>
      <c r="F992" s="19">
        <v>263</v>
      </c>
      <c r="G992" s="19">
        <v>262.5</v>
      </c>
      <c r="H992" s="19">
        <v>285</v>
      </c>
      <c r="I992" s="10">
        <v>480</v>
      </c>
      <c r="J992" s="9">
        <v>462.5</v>
      </c>
      <c r="K992" s="10">
        <v>362.5</v>
      </c>
      <c r="L992" s="9">
        <v>505</v>
      </c>
      <c r="M992" s="9">
        <v>422.5</v>
      </c>
      <c r="N992" s="9">
        <v>630</v>
      </c>
      <c r="O992" s="9">
        <v>650</v>
      </c>
      <c r="P992" s="9">
        <v>650</v>
      </c>
      <c r="Q992" s="9">
        <v>650</v>
      </c>
    </row>
    <row r="993" spans="1:15" ht="12.75" hidden="1">
      <c r="A993" s="3" t="s">
        <v>710</v>
      </c>
      <c r="B993" s="11" t="s">
        <v>711</v>
      </c>
      <c r="E993" s="3" t="s">
        <v>2614</v>
      </c>
      <c r="F993" s="19">
        <v>2509</v>
      </c>
      <c r="G993" s="19">
        <v>797.57</v>
      </c>
      <c r="H993" s="19">
        <v>0</v>
      </c>
      <c r="I993" s="10">
        <v>0</v>
      </c>
      <c r="J993" s="9">
        <v>0</v>
      </c>
      <c r="K993" s="10">
        <v>0</v>
      </c>
      <c r="L993" s="9">
        <v>0</v>
      </c>
      <c r="M993" s="9">
        <v>0</v>
      </c>
      <c r="N993" s="9">
        <v>0</v>
      </c>
      <c r="O993" s="9">
        <v>0</v>
      </c>
    </row>
    <row r="994" spans="5:18" ht="12.75">
      <c r="E994" s="20" t="s">
        <v>2274</v>
      </c>
      <c r="F994" s="21">
        <f aca="true" t="shared" si="218" ref="F994:K994">SUM(F992:F993)</f>
        <v>2772</v>
      </c>
      <c r="G994" s="21">
        <f t="shared" si="218"/>
        <v>1060.0700000000002</v>
      </c>
      <c r="H994" s="21">
        <f t="shared" si="218"/>
        <v>285</v>
      </c>
      <c r="I994" s="22">
        <f t="shared" si="218"/>
        <v>480</v>
      </c>
      <c r="J994" s="23">
        <f t="shared" si="218"/>
        <v>462.5</v>
      </c>
      <c r="K994" s="23">
        <f t="shared" si="218"/>
        <v>362.5</v>
      </c>
      <c r="L994" s="7">
        <f>SUM(L984:L993)</f>
        <v>9051.43</v>
      </c>
      <c r="M994" s="7">
        <f aca="true" t="shared" si="219" ref="M994:R994">SUM(M984:M993)</f>
        <v>8816.470000000001</v>
      </c>
      <c r="N994" s="7">
        <f t="shared" si="219"/>
        <v>10784.17</v>
      </c>
      <c r="O994" s="7">
        <f t="shared" si="219"/>
        <v>15535</v>
      </c>
      <c r="P994" s="7">
        <f t="shared" si="219"/>
        <v>15535</v>
      </c>
      <c r="Q994" s="7">
        <f t="shared" si="219"/>
        <v>15935</v>
      </c>
      <c r="R994" s="7">
        <f t="shared" si="219"/>
        <v>0</v>
      </c>
    </row>
    <row r="995" spans="3:9" ht="12.75" customHeight="1">
      <c r="C995" s="196">
        <v>14213</v>
      </c>
      <c r="I995" s="10"/>
    </row>
    <row r="996" spans="1:18" ht="12.75">
      <c r="A996" s="3" t="s">
        <v>723</v>
      </c>
      <c r="B996" s="11" t="s">
        <v>724</v>
      </c>
      <c r="C996" s="36" t="s">
        <v>1326</v>
      </c>
      <c r="E996" s="3" t="s">
        <v>510</v>
      </c>
      <c r="F996" s="19">
        <v>765</v>
      </c>
      <c r="G996" s="19">
        <v>2542.33</v>
      </c>
      <c r="H996" s="19">
        <v>1405.76</v>
      </c>
      <c r="I996" s="10">
        <v>0</v>
      </c>
      <c r="J996" s="10">
        <v>0</v>
      </c>
      <c r="K996" s="10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6000</v>
      </c>
      <c r="R996" s="9">
        <v>0</v>
      </c>
    </row>
    <row r="997" spans="5:18" ht="12.75">
      <c r="E997" s="20" t="s">
        <v>2277</v>
      </c>
      <c r="F997" s="21">
        <f aca="true" t="shared" si="220" ref="F997:L997">SUM(F996)</f>
        <v>765</v>
      </c>
      <c r="G997" s="21">
        <f t="shared" si="220"/>
        <v>2542.33</v>
      </c>
      <c r="H997" s="21">
        <f t="shared" si="220"/>
        <v>1405.76</v>
      </c>
      <c r="I997" s="22">
        <f t="shared" si="220"/>
        <v>0</v>
      </c>
      <c r="J997" s="23">
        <f t="shared" si="220"/>
        <v>0</v>
      </c>
      <c r="K997" s="23">
        <f t="shared" si="220"/>
        <v>0</v>
      </c>
      <c r="L997" s="7">
        <f t="shared" si="220"/>
        <v>0</v>
      </c>
      <c r="M997" s="7">
        <f aca="true" t="shared" si="221" ref="M997:R997">SUM(M996)</f>
        <v>0</v>
      </c>
      <c r="N997" s="7">
        <f t="shared" si="221"/>
        <v>0</v>
      </c>
      <c r="O997" s="7">
        <f t="shared" si="221"/>
        <v>0</v>
      </c>
      <c r="P997" s="7">
        <f t="shared" si="221"/>
        <v>0</v>
      </c>
      <c r="Q997" s="7">
        <f t="shared" si="221"/>
        <v>6000</v>
      </c>
      <c r="R997" s="7">
        <f t="shared" si="221"/>
        <v>0</v>
      </c>
    </row>
    <row r="998" ht="12.75">
      <c r="I998" s="10"/>
    </row>
    <row r="999" spans="5:18" ht="12.75">
      <c r="E999" s="2" t="s">
        <v>2793</v>
      </c>
      <c r="F999" s="31">
        <f aca="true" t="shared" si="222" ref="F999:R999">SUM(F969:F997)/2</f>
        <v>237445.5</v>
      </c>
      <c r="G999" s="31">
        <f t="shared" si="222"/>
        <v>245533.15500000003</v>
      </c>
      <c r="H999" s="31">
        <f t="shared" si="222"/>
        <v>263623.6</v>
      </c>
      <c r="I999" s="28">
        <f t="shared" si="222"/>
        <v>251647.895</v>
      </c>
      <c r="J999" s="28">
        <f t="shared" si="222"/>
        <v>263174.4849999999</v>
      </c>
      <c r="K999" s="28">
        <f t="shared" si="222"/>
        <v>260032.37000000002</v>
      </c>
      <c r="L999" s="32">
        <f t="shared" si="222"/>
        <v>255545.94000000003</v>
      </c>
      <c r="M999" s="32">
        <f t="shared" si="222"/>
        <v>249068.07</v>
      </c>
      <c r="N999" s="32">
        <f t="shared" si="222"/>
        <v>269529.48000000004</v>
      </c>
      <c r="O999" s="32">
        <f>SUM(O981+O994+O997)</f>
        <v>303463</v>
      </c>
      <c r="P999" s="32">
        <f>SUM(P981+P994+P997)</f>
        <v>304964</v>
      </c>
      <c r="Q999" s="32">
        <f>SUM(Q981+Q994+Q997)</f>
        <v>318464</v>
      </c>
      <c r="R999" s="32">
        <f t="shared" si="222"/>
        <v>0</v>
      </c>
    </row>
    <row r="1000" spans="1:9" ht="12.75">
      <c r="A1000" s="3" t="s">
        <v>2180</v>
      </c>
      <c r="I1000" s="10"/>
    </row>
    <row r="1001" ht="12.75">
      <c r="I1001" s="10"/>
    </row>
    <row r="1002" spans="3:10" ht="12.75">
      <c r="C1002" s="196">
        <v>14221</v>
      </c>
      <c r="D1002" s="196"/>
      <c r="E1002" s="163" t="s">
        <v>728</v>
      </c>
      <c r="I1002" s="10"/>
      <c r="J1002" s="10"/>
    </row>
    <row r="1003" spans="1:17" ht="12.75">
      <c r="A1003" s="3" t="s">
        <v>729</v>
      </c>
      <c r="B1003" s="11" t="s">
        <v>730</v>
      </c>
      <c r="C1003" s="36">
        <v>511000</v>
      </c>
      <c r="E1003" s="3" t="s">
        <v>2363</v>
      </c>
      <c r="F1003" s="19">
        <v>115948</v>
      </c>
      <c r="G1003" s="19">
        <v>124919.27</v>
      </c>
      <c r="H1003" s="19">
        <v>127288.51</v>
      </c>
      <c r="I1003" s="10">
        <v>150643.16</v>
      </c>
      <c r="J1003" s="9">
        <v>154080.3</v>
      </c>
      <c r="K1003" s="10">
        <v>167609.93</v>
      </c>
      <c r="L1003" s="9">
        <v>137342.54</v>
      </c>
      <c r="M1003" s="9">
        <v>172479.6</v>
      </c>
      <c r="N1003" s="9">
        <v>218501.81</v>
      </c>
      <c r="O1003" s="9">
        <v>236363</v>
      </c>
      <c r="P1003" s="9">
        <v>237360</v>
      </c>
      <c r="Q1003" s="9">
        <v>238442</v>
      </c>
    </row>
    <row r="1004" spans="1:17" ht="12.75">
      <c r="A1004" s="3" t="s">
        <v>731</v>
      </c>
      <c r="B1004" s="11" t="s">
        <v>732</v>
      </c>
      <c r="C1004" s="36">
        <v>513000</v>
      </c>
      <c r="E1004" s="3" t="s">
        <v>2186</v>
      </c>
      <c r="F1004" s="19">
        <v>33527</v>
      </c>
      <c r="G1004" s="19">
        <v>32308.47</v>
      </c>
      <c r="H1004" s="19">
        <v>54575.19</v>
      </c>
      <c r="I1004" s="10">
        <v>48817.84</v>
      </c>
      <c r="J1004" s="9">
        <v>57678.97</v>
      </c>
      <c r="K1004" s="10">
        <v>42228.72</v>
      </c>
      <c r="L1004" s="9">
        <v>42851.58</v>
      </c>
      <c r="M1004" s="9">
        <v>53684.3</v>
      </c>
      <c r="N1004" s="9">
        <v>51333.01</v>
      </c>
      <c r="O1004" s="9">
        <v>49223</v>
      </c>
      <c r="P1004" s="9">
        <v>49223</v>
      </c>
      <c r="Q1004" s="9">
        <v>49223</v>
      </c>
    </row>
    <row r="1005" spans="1:17" ht="12.75">
      <c r="A1005" s="3" t="s">
        <v>742</v>
      </c>
      <c r="B1005" s="11" t="s">
        <v>743</v>
      </c>
      <c r="C1005" s="36">
        <v>514800</v>
      </c>
      <c r="E1005" s="3" t="s">
        <v>2288</v>
      </c>
      <c r="F1005" s="19">
        <v>1150</v>
      </c>
      <c r="G1005" s="19">
        <v>1175</v>
      </c>
      <c r="H1005" s="19">
        <v>1175</v>
      </c>
      <c r="I1005" s="10">
        <v>1175</v>
      </c>
      <c r="J1005" s="9">
        <v>1175</v>
      </c>
      <c r="K1005" s="10">
        <v>1125</v>
      </c>
      <c r="L1005" s="9">
        <v>1125</v>
      </c>
      <c r="M1005" s="9">
        <v>425</v>
      </c>
      <c r="N1005" s="9">
        <v>637.5</v>
      </c>
      <c r="O1005" s="9">
        <v>1075</v>
      </c>
      <c r="P1005" s="9">
        <v>1075</v>
      </c>
      <c r="Q1005" s="9">
        <v>1125</v>
      </c>
    </row>
    <row r="1006" spans="1:17" ht="12.75">
      <c r="A1006" s="3" t="s">
        <v>748</v>
      </c>
      <c r="B1006" s="11" t="s">
        <v>749</v>
      </c>
      <c r="C1006" s="36">
        <v>517000</v>
      </c>
      <c r="E1006" s="3" t="s">
        <v>2222</v>
      </c>
      <c r="F1006" s="19">
        <v>13887</v>
      </c>
      <c r="G1006" s="19">
        <v>14048</v>
      </c>
      <c r="H1006" s="19">
        <v>15917</v>
      </c>
      <c r="I1006" s="10">
        <v>13779</v>
      </c>
      <c r="J1006" s="9">
        <v>25630</v>
      </c>
      <c r="K1006" s="10">
        <v>28989</v>
      </c>
      <c r="L1006" s="9">
        <v>22402</v>
      </c>
      <c r="M1006" s="9">
        <v>21979.18</v>
      </c>
      <c r="N1006" s="9">
        <v>12989</v>
      </c>
      <c r="O1006" s="9">
        <v>40091</v>
      </c>
      <c r="P1006" s="9">
        <v>40091</v>
      </c>
      <c r="Q1006" s="9">
        <v>48577</v>
      </c>
    </row>
    <row r="1007" spans="1:17" ht="12.75">
      <c r="A1007" s="3" t="s">
        <v>744</v>
      </c>
      <c r="B1007" s="11" t="s">
        <v>745</v>
      </c>
      <c r="C1007" s="36">
        <v>517200</v>
      </c>
      <c r="E1007" s="3" t="s">
        <v>2216</v>
      </c>
      <c r="F1007" s="19">
        <v>10140</v>
      </c>
      <c r="G1007" s="19">
        <v>7605</v>
      </c>
      <c r="H1007" s="19">
        <v>7605</v>
      </c>
      <c r="I1007" s="10">
        <v>7605</v>
      </c>
      <c r="J1007" s="9">
        <v>7605</v>
      </c>
      <c r="K1007" s="10">
        <v>7605</v>
      </c>
      <c r="L1007" s="9">
        <v>7605</v>
      </c>
      <c r="M1007" s="9">
        <v>1755</v>
      </c>
      <c r="N1007" s="9">
        <v>1351</v>
      </c>
      <c r="O1007" s="9">
        <v>1772</v>
      </c>
      <c r="P1007" s="9">
        <v>1772</v>
      </c>
      <c r="Q1007" s="9">
        <v>1861</v>
      </c>
    </row>
    <row r="1008" spans="1:17" ht="12.75">
      <c r="A1008" s="3" t="s">
        <v>750</v>
      </c>
      <c r="B1008" s="11" t="s">
        <v>751</v>
      </c>
      <c r="C1008" s="36">
        <v>517800</v>
      </c>
      <c r="E1008" s="3" t="s">
        <v>2298</v>
      </c>
      <c r="F1008" s="19">
        <v>0</v>
      </c>
      <c r="G1008" s="19">
        <v>521</v>
      </c>
      <c r="H1008" s="19">
        <v>518</v>
      </c>
      <c r="I1008" s="10">
        <v>710</v>
      </c>
      <c r="J1008" s="9">
        <v>600</v>
      </c>
      <c r="K1008" s="10">
        <v>630</v>
      </c>
      <c r="L1008" s="9">
        <v>630</v>
      </c>
      <c r="M1008" s="9">
        <v>1230</v>
      </c>
      <c r="N1008" s="9">
        <v>1350</v>
      </c>
      <c r="O1008" s="9">
        <v>1850</v>
      </c>
      <c r="P1008" s="9">
        <v>1850</v>
      </c>
      <c r="Q1008" s="9">
        <v>2128</v>
      </c>
    </row>
    <row r="1009" spans="1:17" ht="12.75">
      <c r="A1009" s="3" t="s">
        <v>746</v>
      </c>
      <c r="B1009" s="11" t="s">
        <v>747</v>
      </c>
      <c r="C1009" s="36">
        <v>517900</v>
      </c>
      <c r="E1009" s="3" t="s">
        <v>2219</v>
      </c>
      <c r="F1009" s="19">
        <v>72</v>
      </c>
      <c r="G1009" s="19">
        <v>72</v>
      </c>
      <c r="H1009" s="19">
        <v>72</v>
      </c>
      <c r="I1009" s="10">
        <v>0</v>
      </c>
      <c r="J1009" s="9">
        <v>72</v>
      </c>
      <c r="K1009" s="10">
        <v>72</v>
      </c>
      <c r="L1009" s="9">
        <v>72</v>
      </c>
      <c r="M1009" s="9">
        <v>72</v>
      </c>
      <c r="N1009" s="9">
        <v>72</v>
      </c>
      <c r="O1009" s="9">
        <v>72</v>
      </c>
      <c r="P1009" s="9">
        <v>72</v>
      </c>
      <c r="Q1009" s="9">
        <v>72</v>
      </c>
    </row>
    <row r="1010" spans="1:17" ht="12.75">
      <c r="A1010" s="3" t="s">
        <v>736</v>
      </c>
      <c r="B1010" s="11" t="s">
        <v>737</v>
      </c>
      <c r="C1010" s="36">
        <v>519001</v>
      </c>
      <c r="E1010" s="3" t="s">
        <v>741</v>
      </c>
      <c r="F1010" s="19">
        <v>0</v>
      </c>
      <c r="G1010" s="19">
        <v>0</v>
      </c>
      <c r="H1010" s="19">
        <v>0</v>
      </c>
      <c r="I1010" s="10">
        <v>0</v>
      </c>
      <c r="J1010" s="9">
        <v>43.01</v>
      </c>
      <c r="K1010" s="10">
        <v>0</v>
      </c>
      <c r="L1010" s="9">
        <v>51.05</v>
      </c>
      <c r="M1010" s="9">
        <v>8211.96</v>
      </c>
      <c r="N1010" s="9">
        <v>422.23</v>
      </c>
      <c r="O1010" s="9">
        <v>1000</v>
      </c>
      <c r="P1010" s="9">
        <v>1000</v>
      </c>
      <c r="Q1010" s="9">
        <v>1000</v>
      </c>
    </row>
    <row r="1011" spans="5:18" ht="12.75">
      <c r="E1011" s="20" t="s">
        <v>2187</v>
      </c>
      <c r="F1011" s="21">
        <f aca="true" t="shared" si="223" ref="F1011:L1011">SUM(F1003:F1010)</f>
        <v>174724</v>
      </c>
      <c r="G1011" s="21">
        <f t="shared" si="223"/>
        <v>180648.74</v>
      </c>
      <c r="H1011" s="21">
        <f t="shared" si="223"/>
        <v>207150.7</v>
      </c>
      <c r="I1011" s="22">
        <f t="shared" si="223"/>
        <v>222730</v>
      </c>
      <c r="J1011" s="23">
        <f t="shared" si="223"/>
        <v>246884.28</v>
      </c>
      <c r="K1011" s="23">
        <f t="shared" si="223"/>
        <v>248259.65</v>
      </c>
      <c r="L1011" s="7">
        <f t="shared" si="223"/>
        <v>212079.16999999998</v>
      </c>
      <c r="M1011" s="7">
        <f aca="true" t="shared" si="224" ref="M1011:R1011">SUM(M1003:M1010)</f>
        <v>259837.04</v>
      </c>
      <c r="N1011" s="7">
        <f t="shared" si="224"/>
        <v>286656.55</v>
      </c>
      <c r="O1011" s="7">
        <f t="shared" si="224"/>
        <v>331446</v>
      </c>
      <c r="P1011" s="7">
        <f t="shared" si="224"/>
        <v>332443</v>
      </c>
      <c r="Q1011" s="7">
        <f t="shared" si="224"/>
        <v>342428</v>
      </c>
      <c r="R1011" s="7">
        <f t="shared" si="224"/>
        <v>0</v>
      </c>
    </row>
    <row r="1012" spans="3:9" ht="12.75">
      <c r="C1012" s="196">
        <v>14222</v>
      </c>
      <c r="D1012" s="196"/>
      <c r="I1012" s="10"/>
    </row>
    <row r="1013" spans="2:17" ht="12.75">
      <c r="B1013" s="11" t="s">
        <v>2107</v>
      </c>
      <c r="C1013" s="36">
        <v>525100</v>
      </c>
      <c r="E1013" s="3" t="s">
        <v>222</v>
      </c>
      <c r="I1013" s="10"/>
      <c r="K1013" s="10"/>
      <c r="O1013" s="9">
        <v>20696</v>
      </c>
      <c r="P1013" s="9">
        <v>20696</v>
      </c>
      <c r="Q1013" s="9">
        <v>22800</v>
      </c>
    </row>
    <row r="1014" spans="3:17" ht="12.75">
      <c r="C1014" s="36">
        <v>529700</v>
      </c>
      <c r="E1014" s="3" t="s">
        <v>511</v>
      </c>
      <c r="I1014" s="10"/>
      <c r="K1014" s="10"/>
      <c r="P1014" s="9">
        <v>10000</v>
      </c>
      <c r="Q1014" s="9">
        <v>10000</v>
      </c>
    </row>
    <row r="1015" spans="2:17" ht="12.75">
      <c r="B1015" s="11" t="s">
        <v>763</v>
      </c>
      <c r="C1015" s="36">
        <v>530000</v>
      </c>
      <c r="E1015" s="3" t="s">
        <v>2379</v>
      </c>
      <c r="F1015" s="19">
        <v>0</v>
      </c>
      <c r="G1015" s="19">
        <v>0</v>
      </c>
      <c r="H1015" s="19">
        <v>0</v>
      </c>
      <c r="I1015" s="10">
        <v>1286</v>
      </c>
      <c r="J1015" s="9">
        <v>1500</v>
      </c>
      <c r="K1015" s="10">
        <v>0</v>
      </c>
      <c r="L1015" s="9">
        <v>600</v>
      </c>
      <c r="M1015" s="9">
        <v>700</v>
      </c>
      <c r="N1015" s="9">
        <v>700</v>
      </c>
      <c r="O1015" s="9">
        <v>1000</v>
      </c>
      <c r="P1015" s="9">
        <v>1000</v>
      </c>
      <c r="Q1015" s="9">
        <v>16000</v>
      </c>
    </row>
    <row r="1016" spans="1:17" ht="12.75">
      <c r="A1016" s="3" t="s">
        <v>757</v>
      </c>
      <c r="B1016" s="11" t="s">
        <v>758</v>
      </c>
      <c r="C1016" s="36">
        <v>531600</v>
      </c>
      <c r="E1016" s="3" t="s">
        <v>759</v>
      </c>
      <c r="F1016" s="19">
        <v>1871</v>
      </c>
      <c r="G1016" s="19">
        <v>1944.37</v>
      </c>
      <c r="H1016" s="19">
        <v>3119.81</v>
      </c>
      <c r="I1016" s="10">
        <v>4438.11</v>
      </c>
      <c r="J1016" s="9">
        <v>3336.48</v>
      </c>
      <c r="K1016" s="9">
        <v>300.06</v>
      </c>
      <c r="L1016" s="9">
        <v>800.16</v>
      </c>
      <c r="M1016" s="9">
        <v>2244.7</v>
      </c>
      <c r="N1016" s="9">
        <v>855.66</v>
      </c>
      <c r="O1016" s="9">
        <v>4050</v>
      </c>
      <c r="P1016" s="9">
        <v>4050</v>
      </c>
      <c r="Q1016" s="9">
        <v>4172</v>
      </c>
    </row>
    <row r="1017" spans="1:17" ht="12.75">
      <c r="A1017" s="3" t="s">
        <v>767</v>
      </c>
      <c r="B1017" s="11" t="s">
        <v>768</v>
      </c>
      <c r="C1017" s="36">
        <v>553100</v>
      </c>
      <c r="E1017" s="3" t="s">
        <v>769</v>
      </c>
      <c r="F1017" s="19">
        <v>16866</v>
      </c>
      <c r="G1017" s="19">
        <v>21465.53</v>
      </c>
      <c r="H1017" s="19">
        <v>19548.11</v>
      </c>
      <c r="I1017" s="10">
        <v>29622.4</v>
      </c>
      <c r="J1017" s="9">
        <v>35948.98</v>
      </c>
      <c r="K1017" s="10">
        <v>26261.34</v>
      </c>
      <c r="L1017" s="9">
        <v>26780.39</v>
      </c>
      <c r="M1017" s="9">
        <v>33686.51</v>
      </c>
      <c r="N1017" s="9">
        <v>28300.31</v>
      </c>
      <c r="O1017" s="9">
        <v>6899</v>
      </c>
      <c r="P1017" s="9">
        <v>6899</v>
      </c>
      <c r="Q1017" s="9">
        <v>7105</v>
      </c>
    </row>
    <row r="1018" spans="1:17" ht="12.75">
      <c r="A1018" s="3" t="s">
        <v>767</v>
      </c>
      <c r="B1018" s="11" t="s">
        <v>770</v>
      </c>
      <c r="C1018" s="36">
        <v>553300</v>
      </c>
      <c r="E1018" s="3" t="s">
        <v>771</v>
      </c>
      <c r="F1018" s="19">
        <v>16979</v>
      </c>
      <c r="G1018" s="19">
        <v>25724.59</v>
      </c>
      <c r="H1018" s="19">
        <v>27425.38</v>
      </c>
      <c r="I1018" s="10">
        <v>28433.08</v>
      </c>
      <c r="J1018" s="9">
        <v>25485.25</v>
      </c>
      <c r="K1018" s="10">
        <v>26231.49</v>
      </c>
      <c r="L1018" s="9">
        <v>25911.42</v>
      </c>
      <c r="M1018" s="9">
        <v>26286.87</v>
      </c>
      <c r="N1018" s="9">
        <v>31690.53</v>
      </c>
      <c r="O1018" s="9">
        <v>27595</v>
      </c>
      <c r="P1018" s="9">
        <v>27595</v>
      </c>
      <c r="Q1018" s="9">
        <v>28425</v>
      </c>
    </row>
    <row r="1019" spans="1:17" ht="12.75">
      <c r="A1019" s="3" t="s">
        <v>755</v>
      </c>
      <c r="B1019" s="11" t="s">
        <v>756</v>
      </c>
      <c r="C1019" s="36">
        <v>553400</v>
      </c>
      <c r="E1019" s="3" t="s">
        <v>2426</v>
      </c>
      <c r="F1019" s="19">
        <v>53579</v>
      </c>
      <c r="G1019" s="19">
        <v>52995.74</v>
      </c>
      <c r="H1019" s="19">
        <v>82777.16</v>
      </c>
      <c r="I1019" s="10">
        <v>75908.14</v>
      </c>
      <c r="J1019" s="9">
        <v>140195.19</v>
      </c>
      <c r="K1019" s="10">
        <v>67925.35</v>
      </c>
      <c r="L1019" s="9">
        <v>257886.65</v>
      </c>
      <c r="M1019" s="9">
        <v>59070.23</v>
      </c>
      <c r="N1019" s="9">
        <v>25404.66</v>
      </c>
      <c r="O1019" s="9">
        <v>6459</v>
      </c>
      <c r="P1019" s="9">
        <v>27155</v>
      </c>
      <c r="Q1019" s="9">
        <v>100000</v>
      </c>
    </row>
    <row r="1020" spans="5:18" ht="12.75">
      <c r="E1020" s="20" t="s">
        <v>2274</v>
      </c>
      <c r="F1020" s="25">
        <f aca="true" t="shared" si="225" ref="F1020:K1020">SUM(F1016:F1017)</f>
        <v>18737</v>
      </c>
      <c r="G1020" s="25">
        <f t="shared" si="225"/>
        <v>23409.899999999998</v>
      </c>
      <c r="H1020" s="25">
        <f t="shared" si="225"/>
        <v>22667.920000000002</v>
      </c>
      <c r="I1020" s="23">
        <f t="shared" si="225"/>
        <v>34060.51</v>
      </c>
      <c r="J1020" s="23">
        <f t="shared" si="225"/>
        <v>39285.46000000001</v>
      </c>
      <c r="K1020" s="23">
        <f t="shared" si="225"/>
        <v>26561.4</v>
      </c>
      <c r="L1020" s="7">
        <f>SUM(L1013:L1019)</f>
        <v>311978.62</v>
      </c>
      <c r="M1020" s="7">
        <f aca="true" t="shared" si="226" ref="M1020:R1020">SUM(M1013:M1019)</f>
        <v>121988.31</v>
      </c>
      <c r="N1020" s="7">
        <f t="shared" si="226"/>
        <v>86951.16</v>
      </c>
      <c r="O1020" s="7">
        <f t="shared" si="226"/>
        <v>66699</v>
      </c>
      <c r="P1020" s="7">
        <f t="shared" si="226"/>
        <v>97395</v>
      </c>
      <c r="Q1020" s="7">
        <f t="shared" si="226"/>
        <v>188502</v>
      </c>
      <c r="R1020" s="7">
        <f t="shared" si="226"/>
        <v>0</v>
      </c>
    </row>
    <row r="1021" spans="3:9" ht="12" customHeight="1">
      <c r="C1021" s="196">
        <v>14223</v>
      </c>
      <c r="I1021" s="10"/>
    </row>
    <row r="1022" spans="2:18" ht="12.75" hidden="1">
      <c r="B1022" s="50" t="s">
        <v>775</v>
      </c>
      <c r="C1022" s="49"/>
      <c r="D1022" s="49"/>
      <c r="E1022" s="3" t="s">
        <v>776</v>
      </c>
      <c r="F1022" s="19">
        <v>0</v>
      </c>
      <c r="G1022" s="19">
        <v>0</v>
      </c>
      <c r="H1022" s="19">
        <v>0</v>
      </c>
      <c r="I1022" s="10">
        <v>0</v>
      </c>
      <c r="J1022" s="10">
        <v>3825</v>
      </c>
      <c r="K1022" s="10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v>0</v>
      </c>
      <c r="R1022" s="9">
        <v>0</v>
      </c>
    </row>
    <row r="1023" spans="1:18" ht="12.75">
      <c r="A1023" s="3" t="s">
        <v>777</v>
      </c>
      <c r="B1023" s="50" t="s">
        <v>778</v>
      </c>
      <c r="C1023" s="49"/>
      <c r="D1023" s="49"/>
      <c r="E1023" s="3" t="s">
        <v>779</v>
      </c>
      <c r="F1023" s="19">
        <v>0</v>
      </c>
      <c r="G1023" s="19">
        <v>0</v>
      </c>
      <c r="H1023" s="19">
        <v>11250</v>
      </c>
      <c r="I1023" s="10">
        <v>0</v>
      </c>
      <c r="J1023" s="9">
        <v>0</v>
      </c>
      <c r="K1023" s="10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v>4800</v>
      </c>
      <c r="R1023" s="9">
        <v>0</v>
      </c>
    </row>
    <row r="1024" spans="5:18" ht="12.75">
      <c r="E1024" s="20" t="s">
        <v>2277</v>
      </c>
      <c r="F1024" s="21">
        <f aca="true" t="shared" si="227" ref="F1024:L1024">SUM(F1022:F1023)</f>
        <v>0</v>
      </c>
      <c r="G1024" s="21">
        <f t="shared" si="227"/>
        <v>0</v>
      </c>
      <c r="H1024" s="21">
        <f t="shared" si="227"/>
        <v>11250</v>
      </c>
      <c r="I1024" s="22">
        <f t="shared" si="227"/>
        <v>0</v>
      </c>
      <c r="J1024" s="23">
        <f t="shared" si="227"/>
        <v>3825</v>
      </c>
      <c r="K1024" s="23">
        <f t="shared" si="227"/>
        <v>0</v>
      </c>
      <c r="L1024" s="7">
        <f t="shared" si="227"/>
        <v>0</v>
      </c>
      <c r="M1024" s="7">
        <f aca="true" t="shared" si="228" ref="M1024:R1024">SUM(M1022:M1023)</f>
        <v>0</v>
      </c>
      <c r="N1024" s="7">
        <f t="shared" si="228"/>
        <v>0</v>
      </c>
      <c r="O1024" s="7">
        <f t="shared" si="228"/>
        <v>0</v>
      </c>
      <c r="P1024" s="7">
        <f t="shared" si="228"/>
        <v>0</v>
      </c>
      <c r="Q1024" s="7">
        <f t="shared" si="228"/>
        <v>4800</v>
      </c>
      <c r="R1024" s="7">
        <f t="shared" si="228"/>
        <v>0</v>
      </c>
    </row>
    <row r="1025" spans="9:10" ht="12.75">
      <c r="I1025" s="10"/>
      <c r="J1025" s="10"/>
    </row>
    <row r="1026" spans="5:18" ht="12.75">
      <c r="E1026" s="2" t="s">
        <v>780</v>
      </c>
      <c r="F1026" s="31">
        <f aca="true" t="shared" si="229" ref="F1026:K1026">SUM(F1003:F1024)/2</f>
        <v>228740</v>
      </c>
      <c r="G1026" s="31">
        <f t="shared" si="229"/>
        <v>243418.80500000002</v>
      </c>
      <c r="H1026" s="31">
        <f t="shared" si="229"/>
        <v>296169.89</v>
      </c>
      <c r="I1026" s="28">
        <f t="shared" si="229"/>
        <v>309604.12</v>
      </c>
      <c r="J1026" s="28">
        <f t="shared" si="229"/>
        <v>373584.95999999996</v>
      </c>
      <c r="K1026" s="28">
        <f t="shared" si="229"/>
        <v>321899.47000000003</v>
      </c>
      <c r="L1026" s="32">
        <f>SUM(L1003:L1024)/2</f>
        <v>524057.79</v>
      </c>
      <c r="M1026" s="32">
        <f aca="true" t="shared" si="230" ref="M1026:R1026">SUM(M1003:M1024)/2</f>
        <v>381825.35</v>
      </c>
      <c r="N1026" s="32">
        <f t="shared" si="230"/>
        <v>373607.7100000001</v>
      </c>
      <c r="O1026" s="32">
        <f>SUM(O1024+O1020+O1011)</f>
        <v>398145</v>
      </c>
      <c r="P1026" s="32">
        <f>SUM(P1024+P1020+P1011)</f>
        <v>429838</v>
      </c>
      <c r="Q1026" s="32">
        <f>SUM(Q1024+Q1020+Q1011)</f>
        <v>535730</v>
      </c>
      <c r="R1026" s="32">
        <f t="shared" si="230"/>
        <v>0</v>
      </c>
    </row>
    <row r="1027" spans="5:10" ht="11.25" customHeight="1">
      <c r="E1027" s="38"/>
      <c r="I1027" s="10"/>
      <c r="J1027" s="10"/>
    </row>
    <row r="1028" spans="3:10" ht="13.5" customHeight="1">
      <c r="C1028" s="196">
        <v>14231</v>
      </c>
      <c r="D1028" s="196"/>
      <c r="E1028" s="163" t="s">
        <v>221</v>
      </c>
      <c r="I1028" s="10"/>
      <c r="J1028" s="10"/>
    </row>
    <row r="1029" spans="1:17" ht="12.75">
      <c r="A1029" s="3" t="s">
        <v>733</v>
      </c>
      <c r="B1029" s="11" t="s">
        <v>734</v>
      </c>
      <c r="C1029" s="36">
        <v>513000</v>
      </c>
      <c r="E1029" s="3" t="s">
        <v>735</v>
      </c>
      <c r="F1029" s="19">
        <v>80151</v>
      </c>
      <c r="G1029" s="19">
        <v>85994.55</v>
      </c>
      <c r="H1029" s="19">
        <v>62238.14</v>
      </c>
      <c r="I1029" s="10">
        <v>142968.8</v>
      </c>
      <c r="J1029" s="9">
        <v>84992.49</v>
      </c>
      <c r="K1029" s="10">
        <v>173718.36</v>
      </c>
      <c r="L1029" s="9">
        <v>89960.67</v>
      </c>
      <c r="M1029" s="9">
        <v>220867.58</v>
      </c>
      <c r="N1029" s="9">
        <v>103953.7</v>
      </c>
      <c r="O1029" s="9">
        <v>98220</v>
      </c>
      <c r="P1029" s="9">
        <v>98220</v>
      </c>
      <c r="Q1029" s="9">
        <v>98220</v>
      </c>
    </row>
    <row r="1030" spans="2:19" s="47" customFormat="1" ht="13.5" customHeight="1">
      <c r="B1030" s="65"/>
      <c r="C1030" s="41"/>
      <c r="D1030" s="41"/>
      <c r="E1030" s="20" t="s">
        <v>2187</v>
      </c>
      <c r="F1030" s="43"/>
      <c r="G1030" s="43"/>
      <c r="H1030" s="43"/>
      <c r="I1030" s="44"/>
      <c r="J1030" s="44"/>
      <c r="K1030" s="158"/>
      <c r="L1030" s="7">
        <f aca="true" t="shared" si="231" ref="L1030:R1030">SUM(L1029)</f>
        <v>89960.67</v>
      </c>
      <c r="M1030" s="7">
        <f t="shared" si="231"/>
        <v>220867.58</v>
      </c>
      <c r="N1030" s="7">
        <f t="shared" si="231"/>
        <v>103953.7</v>
      </c>
      <c r="O1030" s="7">
        <f t="shared" si="231"/>
        <v>98220</v>
      </c>
      <c r="P1030" s="7">
        <f t="shared" si="231"/>
        <v>98220</v>
      </c>
      <c r="Q1030" s="7">
        <f t="shared" si="231"/>
        <v>98220</v>
      </c>
      <c r="R1030" s="7">
        <f t="shared" si="231"/>
        <v>0</v>
      </c>
      <c r="S1030" s="158"/>
    </row>
    <row r="1031" spans="2:19" s="47" customFormat="1" ht="13.5" customHeight="1">
      <c r="B1031" s="65"/>
      <c r="C1031" s="196">
        <v>14232</v>
      </c>
      <c r="D1031" s="196"/>
      <c r="E1031" s="20"/>
      <c r="F1031" s="43"/>
      <c r="G1031" s="43"/>
      <c r="H1031" s="43"/>
      <c r="I1031" s="44"/>
      <c r="J1031" s="44"/>
      <c r="K1031" s="158"/>
      <c r="L1031" s="7"/>
      <c r="M1031" s="7"/>
      <c r="N1031" s="7"/>
      <c r="O1031" s="7"/>
      <c r="P1031" s="7"/>
      <c r="Q1031" s="7"/>
      <c r="R1031" s="7"/>
      <c r="S1031" s="158"/>
    </row>
    <row r="1032" spans="1:17" ht="12.75">
      <c r="A1032" s="3" t="s">
        <v>764</v>
      </c>
      <c r="B1032" s="11" t="s">
        <v>765</v>
      </c>
      <c r="C1032" s="36">
        <v>524400</v>
      </c>
      <c r="E1032" s="3" t="s">
        <v>766</v>
      </c>
      <c r="F1032" s="19">
        <v>28462</v>
      </c>
      <c r="G1032" s="19">
        <v>21305.21</v>
      </c>
      <c r="H1032" s="19">
        <v>19487.78</v>
      </c>
      <c r="I1032" s="10">
        <v>25052.65</v>
      </c>
      <c r="J1032" s="9">
        <v>39405.92</v>
      </c>
      <c r="K1032" s="10">
        <v>47303.53</v>
      </c>
      <c r="L1032" s="9">
        <v>-3006.27</v>
      </c>
      <c r="M1032" s="9">
        <v>37672.91</v>
      </c>
      <c r="N1032" s="9">
        <v>52868.94</v>
      </c>
      <c r="O1032" s="9">
        <v>32500</v>
      </c>
      <c r="P1032" s="9">
        <v>32500</v>
      </c>
      <c r="Q1032" s="9">
        <v>34125</v>
      </c>
    </row>
    <row r="1033" spans="1:17" ht="12.75">
      <c r="A1033" s="3" t="s">
        <v>752</v>
      </c>
      <c r="B1033" s="11" t="s">
        <v>753</v>
      </c>
      <c r="C1033" s="36">
        <v>529100</v>
      </c>
      <c r="E1033" s="3" t="s">
        <v>754</v>
      </c>
      <c r="F1033" s="19">
        <v>65818</v>
      </c>
      <c r="G1033" s="19">
        <v>84663.75</v>
      </c>
      <c r="H1033" s="19">
        <v>113453.4</v>
      </c>
      <c r="I1033" s="10">
        <v>159327.52</v>
      </c>
      <c r="J1033" s="10">
        <v>37001</v>
      </c>
      <c r="K1033" s="10">
        <v>135641.08</v>
      </c>
      <c r="L1033" s="9">
        <v>123034.15</v>
      </c>
      <c r="M1033" s="9">
        <v>216283.75</v>
      </c>
      <c r="N1033" s="9">
        <v>158942.27</v>
      </c>
      <c r="O1033" s="9">
        <v>123074</v>
      </c>
      <c r="P1033" s="9">
        <v>123074</v>
      </c>
      <c r="Q1033" s="9">
        <v>129227</v>
      </c>
    </row>
    <row r="1034" spans="1:17" ht="12.75">
      <c r="A1034" s="3" t="s">
        <v>760</v>
      </c>
      <c r="B1034" s="11" t="s">
        <v>761</v>
      </c>
      <c r="C1034" s="36">
        <v>531600</v>
      </c>
      <c r="E1034" s="3" t="s">
        <v>762</v>
      </c>
      <c r="F1034" s="19">
        <v>2847</v>
      </c>
      <c r="G1034" s="19">
        <v>216.88</v>
      </c>
      <c r="H1034" s="19">
        <v>1424.16</v>
      </c>
      <c r="I1034" s="10">
        <v>2936.64</v>
      </c>
      <c r="J1034" s="9">
        <v>0</v>
      </c>
      <c r="K1034" s="9">
        <v>5406.68</v>
      </c>
      <c r="L1034" s="9">
        <v>4800.96</v>
      </c>
      <c r="M1034" s="9">
        <v>5823.53</v>
      </c>
      <c r="N1034" s="9">
        <v>139.91</v>
      </c>
      <c r="O1034" s="9">
        <v>12607</v>
      </c>
      <c r="P1034" s="9">
        <v>12607</v>
      </c>
      <c r="Q1034" s="9">
        <v>12607</v>
      </c>
    </row>
    <row r="1035" spans="1:17" ht="12.75">
      <c r="A1035" s="3" t="s">
        <v>772</v>
      </c>
      <c r="B1035" s="11" t="s">
        <v>773</v>
      </c>
      <c r="C1035" s="36">
        <v>553100</v>
      </c>
      <c r="E1035" s="3" t="s">
        <v>774</v>
      </c>
      <c r="F1035" s="19">
        <v>88882</v>
      </c>
      <c r="G1035" s="19">
        <v>127010.21</v>
      </c>
      <c r="H1035" s="19">
        <v>95096.86</v>
      </c>
      <c r="I1035" s="10">
        <v>180478.15</v>
      </c>
      <c r="J1035" s="9">
        <v>94395.26</v>
      </c>
      <c r="K1035" s="10">
        <v>169823.1</v>
      </c>
      <c r="L1035" s="9">
        <v>105088.347</v>
      </c>
      <c r="M1035" s="9">
        <v>331803</v>
      </c>
      <c r="N1035" s="9">
        <v>146160.69</v>
      </c>
      <c r="O1035" s="9">
        <v>145000</v>
      </c>
      <c r="P1035" s="9">
        <v>145000</v>
      </c>
      <c r="Q1035" s="9">
        <v>152250</v>
      </c>
    </row>
    <row r="1036" spans="2:19" s="20" customFormat="1" ht="13.5" customHeight="1">
      <c r="B1036" s="51"/>
      <c r="C1036" s="196"/>
      <c r="D1036" s="196"/>
      <c r="E1036" s="20" t="s">
        <v>2274</v>
      </c>
      <c r="F1036" s="25"/>
      <c r="G1036" s="25"/>
      <c r="H1036" s="25"/>
      <c r="I1036" s="23"/>
      <c r="J1036" s="23"/>
      <c r="K1036" s="22"/>
      <c r="L1036" s="7">
        <f>SUM(L1032:L1035)</f>
        <v>229917.18699999998</v>
      </c>
      <c r="M1036" s="7">
        <f aca="true" t="shared" si="232" ref="M1036:R1036">SUM(M1032:M1035)</f>
        <v>591583.19</v>
      </c>
      <c r="N1036" s="7">
        <f t="shared" si="232"/>
        <v>358111.81</v>
      </c>
      <c r="O1036" s="7">
        <f t="shared" si="232"/>
        <v>313181</v>
      </c>
      <c r="P1036" s="7">
        <f t="shared" si="232"/>
        <v>313181</v>
      </c>
      <c r="Q1036" s="7">
        <f t="shared" si="232"/>
        <v>328209</v>
      </c>
      <c r="R1036" s="7">
        <f t="shared" si="232"/>
        <v>0</v>
      </c>
      <c r="S1036" s="22"/>
    </row>
    <row r="1037" spans="2:19" s="20" customFormat="1" ht="7.5" customHeight="1">
      <c r="B1037" s="51"/>
      <c r="C1037" s="196"/>
      <c r="D1037" s="196"/>
      <c r="F1037" s="25"/>
      <c r="G1037" s="25"/>
      <c r="H1037" s="25"/>
      <c r="I1037" s="23"/>
      <c r="J1037" s="23"/>
      <c r="K1037" s="22"/>
      <c r="L1037" s="7"/>
      <c r="M1037" s="7"/>
      <c r="N1037" s="7"/>
      <c r="O1037" s="7"/>
      <c r="P1037" s="7"/>
      <c r="Q1037" s="7"/>
      <c r="R1037" s="7"/>
      <c r="S1037" s="22"/>
    </row>
    <row r="1038" spans="2:19" s="38" customFormat="1" ht="13.5" customHeight="1">
      <c r="B1038" s="15"/>
      <c r="C1038" s="39"/>
      <c r="D1038" s="39"/>
      <c r="E1038" s="38" t="s">
        <v>2794</v>
      </c>
      <c r="F1038" s="31"/>
      <c r="G1038" s="31"/>
      <c r="H1038" s="31"/>
      <c r="I1038" s="28"/>
      <c r="J1038" s="28"/>
      <c r="K1038" s="57"/>
      <c r="L1038" s="32">
        <f>SUM(L1029:L1036)/2</f>
        <v>319877.85699999996</v>
      </c>
      <c r="M1038" s="32">
        <f aca="true" t="shared" si="233" ref="M1038:R1038">SUM(M1029:M1036)/2</f>
        <v>812450.77</v>
      </c>
      <c r="N1038" s="32">
        <f t="shared" si="233"/>
        <v>462065.51</v>
      </c>
      <c r="O1038" s="32">
        <f>SUM(O1036+O1030)</f>
        <v>411401</v>
      </c>
      <c r="P1038" s="32">
        <f>SUM(P1036+P1030)</f>
        <v>411401</v>
      </c>
      <c r="Q1038" s="32">
        <f>SUM(Q1036+Q1030)</f>
        <v>426429</v>
      </c>
      <c r="R1038" s="32">
        <f t="shared" si="233"/>
        <v>0</v>
      </c>
      <c r="S1038" s="57"/>
    </row>
    <row r="1039" spans="5:10" ht="12.75">
      <c r="E1039" s="38"/>
      <c r="I1039" s="10"/>
      <c r="J1039" s="10"/>
    </row>
    <row r="1040" spans="1:9" ht="12.75">
      <c r="A1040" s="3" t="s">
        <v>2180</v>
      </c>
      <c r="C1040" s="196">
        <v>14251</v>
      </c>
      <c r="D1040" s="196"/>
      <c r="E1040" s="150" t="s">
        <v>2789</v>
      </c>
      <c r="I1040" s="10"/>
    </row>
    <row r="1041" spans="1:17" ht="12.75">
      <c r="A1041" s="3" t="s">
        <v>788</v>
      </c>
      <c r="B1041" s="11" t="s">
        <v>789</v>
      </c>
      <c r="C1041" s="36">
        <v>511000</v>
      </c>
      <c r="E1041" s="3" t="s">
        <v>2363</v>
      </c>
      <c r="F1041" s="19">
        <v>146625</v>
      </c>
      <c r="G1041" s="19">
        <v>144967.18</v>
      </c>
      <c r="H1041" s="19">
        <v>130451.28</v>
      </c>
      <c r="I1041" s="10">
        <v>158819.1</v>
      </c>
      <c r="J1041" s="9">
        <v>214837.12</v>
      </c>
      <c r="K1041" s="10">
        <v>243019.12</v>
      </c>
      <c r="L1041" s="9">
        <v>243299.61</v>
      </c>
      <c r="M1041" s="9">
        <v>245859.48</v>
      </c>
      <c r="N1041" s="9">
        <v>240336.04</v>
      </c>
      <c r="O1041" s="9">
        <v>295908</v>
      </c>
      <c r="P1041" s="9">
        <v>247908</v>
      </c>
      <c r="Q1041" s="9">
        <v>292392</v>
      </c>
    </row>
    <row r="1042" spans="1:17" ht="12.75">
      <c r="A1042" s="3" t="s">
        <v>792</v>
      </c>
      <c r="B1042" s="11" t="s">
        <v>793</v>
      </c>
      <c r="C1042" s="36">
        <v>514800</v>
      </c>
      <c r="E1042" s="3" t="s">
        <v>2288</v>
      </c>
      <c r="F1042" s="19">
        <v>925</v>
      </c>
      <c r="G1042" s="19">
        <v>662.5</v>
      </c>
      <c r="H1042" s="19">
        <v>362.5</v>
      </c>
      <c r="I1042" s="10">
        <v>225</v>
      </c>
      <c r="J1042" s="9">
        <v>637.5</v>
      </c>
      <c r="K1042" s="10">
        <v>1000</v>
      </c>
      <c r="L1042" s="9">
        <v>885.42</v>
      </c>
      <c r="M1042" s="9">
        <v>950</v>
      </c>
      <c r="N1042" s="9">
        <v>1275</v>
      </c>
      <c r="O1042" s="9">
        <v>1475</v>
      </c>
      <c r="P1042" s="9">
        <v>1475</v>
      </c>
      <c r="Q1042" s="9">
        <v>1375</v>
      </c>
    </row>
    <row r="1043" spans="1:17" ht="12.75">
      <c r="A1043" s="3" t="s">
        <v>818</v>
      </c>
      <c r="B1043" s="11" t="s">
        <v>819</v>
      </c>
      <c r="C1043" s="36">
        <v>517000</v>
      </c>
      <c r="E1043" s="3" t="s">
        <v>2222</v>
      </c>
      <c r="F1043" s="19">
        <v>15750</v>
      </c>
      <c r="G1043" s="19">
        <v>16132</v>
      </c>
      <c r="H1043" s="19">
        <v>24417</v>
      </c>
      <c r="I1043" s="10">
        <v>20668</v>
      </c>
      <c r="J1043" s="9">
        <v>25630</v>
      </c>
      <c r="K1043" s="10">
        <v>28989</v>
      </c>
      <c r="L1043" s="9">
        <v>33604</v>
      </c>
      <c r="M1043" s="9">
        <v>32969.23</v>
      </c>
      <c r="N1043" s="9">
        <v>38968</v>
      </c>
      <c r="O1043" s="9">
        <v>58566</v>
      </c>
      <c r="P1043" s="9">
        <v>58566</v>
      </c>
      <c r="Q1043" s="9">
        <v>62533</v>
      </c>
    </row>
    <row r="1044" spans="1:17" ht="12.75">
      <c r="A1044" s="3" t="s">
        <v>814</v>
      </c>
      <c r="B1044" s="11" t="s">
        <v>815</v>
      </c>
      <c r="C1044" s="36">
        <v>517200</v>
      </c>
      <c r="E1044" s="3" t="s">
        <v>2216</v>
      </c>
      <c r="F1044" s="19">
        <v>14309</v>
      </c>
      <c r="G1044" s="19">
        <v>10732</v>
      </c>
      <c r="H1044" s="19">
        <v>10732</v>
      </c>
      <c r="I1044" s="10">
        <v>10732</v>
      </c>
      <c r="J1044" s="9">
        <v>10732</v>
      </c>
      <c r="K1044" s="10">
        <v>10732</v>
      </c>
      <c r="L1044" s="9">
        <v>10732</v>
      </c>
      <c r="M1044" s="9">
        <v>10747</v>
      </c>
      <c r="N1044" s="9">
        <v>9571</v>
      </c>
      <c r="O1044" s="9">
        <v>11305</v>
      </c>
      <c r="P1044" s="9">
        <v>11305</v>
      </c>
      <c r="Q1044" s="9">
        <v>11870</v>
      </c>
    </row>
    <row r="1045" spans="1:17" ht="12.75">
      <c r="A1045" s="3" t="s">
        <v>820</v>
      </c>
      <c r="B1045" s="11" t="s">
        <v>821</v>
      </c>
      <c r="C1045" s="36">
        <v>517800</v>
      </c>
      <c r="E1045" s="3" t="s">
        <v>2298</v>
      </c>
      <c r="F1045" s="19">
        <v>641</v>
      </c>
      <c r="G1045" s="19">
        <v>1544</v>
      </c>
      <c r="H1045" s="19">
        <v>2241</v>
      </c>
      <c r="I1045" s="10">
        <v>3310</v>
      </c>
      <c r="J1045" s="9">
        <v>2290</v>
      </c>
      <c r="K1045" s="10">
        <v>3080</v>
      </c>
      <c r="L1045" s="9">
        <v>3080</v>
      </c>
      <c r="M1045" s="9">
        <v>2750</v>
      </c>
      <c r="N1045" s="9">
        <v>2900</v>
      </c>
      <c r="O1045" s="9">
        <v>2900</v>
      </c>
      <c r="P1045" s="9">
        <v>2900</v>
      </c>
      <c r="Q1045" s="9">
        <v>3337</v>
      </c>
    </row>
    <row r="1046" spans="1:17" ht="12.75">
      <c r="A1046" s="3" t="s">
        <v>816</v>
      </c>
      <c r="B1046" s="11" t="s">
        <v>817</v>
      </c>
      <c r="C1046" s="36">
        <v>517900</v>
      </c>
      <c r="E1046" s="3" t="s">
        <v>2219</v>
      </c>
      <c r="F1046" s="19">
        <v>120</v>
      </c>
      <c r="G1046" s="19">
        <v>120</v>
      </c>
      <c r="H1046" s="19">
        <v>120</v>
      </c>
      <c r="I1046" s="10">
        <v>0</v>
      </c>
      <c r="J1046" s="9">
        <v>120</v>
      </c>
      <c r="K1046" s="10">
        <v>120</v>
      </c>
      <c r="L1046" s="9">
        <v>120</v>
      </c>
      <c r="M1046" s="9">
        <v>120</v>
      </c>
      <c r="N1046" s="9">
        <v>120</v>
      </c>
      <c r="O1046" s="9">
        <v>120</v>
      </c>
      <c r="P1046" s="9">
        <v>120</v>
      </c>
      <c r="Q1046" s="9">
        <v>120</v>
      </c>
    </row>
    <row r="1047" spans="1:17" ht="12.75">
      <c r="A1047" s="3" t="s">
        <v>790</v>
      </c>
      <c r="B1047" s="11" t="s">
        <v>791</v>
      </c>
      <c r="C1047" s="36">
        <v>519001</v>
      </c>
      <c r="E1047" s="3" t="s">
        <v>741</v>
      </c>
      <c r="F1047" s="19">
        <v>1447</v>
      </c>
      <c r="G1047" s="19">
        <v>69.05</v>
      </c>
      <c r="H1047" s="19">
        <v>54.65</v>
      </c>
      <c r="I1047" s="10">
        <v>218.59</v>
      </c>
      <c r="J1047" s="9">
        <v>86.74</v>
      </c>
      <c r="K1047" s="10">
        <v>461.48</v>
      </c>
      <c r="L1047" s="9">
        <v>383.02</v>
      </c>
      <c r="M1047" s="9">
        <v>439.5</v>
      </c>
      <c r="N1047" s="9">
        <v>439.1</v>
      </c>
      <c r="O1047" s="9">
        <v>600</v>
      </c>
      <c r="P1047" s="9">
        <v>600</v>
      </c>
      <c r="Q1047" s="9">
        <v>600</v>
      </c>
    </row>
    <row r="1048" spans="5:18" ht="12.75">
      <c r="E1048" s="20" t="s">
        <v>2187</v>
      </c>
      <c r="F1048" s="21">
        <f aca="true" t="shared" si="234" ref="F1048:L1048">SUM(F1041:F1047)</f>
        <v>179817</v>
      </c>
      <c r="G1048" s="21">
        <f t="shared" si="234"/>
        <v>174226.72999999998</v>
      </c>
      <c r="H1048" s="21">
        <f t="shared" si="234"/>
        <v>168378.43</v>
      </c>
      <c r="I1048" s="22">
        <f t="shared" si="234"/>
        <v>193972.69</v>
      </c>
      <c r="J1048" s="23">
        <f t="shared" si="234"/>
        <v>254333.36</v>
      </c>
      <c r="K1048" s="23">
        <f t="shared" si="234"/>
        <v>287401.6</v>
      </c>
      <c r="L1048" s="7">
        <f t="shared" si="234"/>
        <v>292104.05000000005</v>
      </c>
      <c r="M1048" s="7">
        <f aca="true" t="shared" si="235" ref="M1048:R1048">SUM(M1041:M1047)</f>
        <v>293835.21</v>
      </c>
      <c r="N1048" s="7">
        <f t="shared" si="235"/>
        <v>293609.14</v>
      </c>
      <c r="O1048" s="7">
        <f t="shared" si="235"/>
        <v>370874</v>
      </c>
      <c r="P1048" s="7">
        <f t="shared" si="235"/>
        <v>322874</v>
      </c>
      <c r="Q1048" s="7">
        <f t="shared" si="235"/>
        <v>372227</v>
      </c>
      <c r="R1048" s="7">
        <f t="shared" si="235"/>
        <v>0</v>
      </c>
    </row>
    <row r="1049" spans="3:9" ht="12.75">
      <c r="C1049" s="196">
        <v>14252</v>
      </c>
      <c r="D1049" s="196"/>
      <c r="I1049" s="10"/>
    </row>
    <row r="1050" spans="1:18" ht="12.75" hidden="1">
      <c r="A1050" s="3" t="s">
        <v>822</v>
      </c>
      <c r="B1050" s="11" t="s">
        <v>823</v>
      </c>
      <c r="E1050" s="3" t="s">
        <v>2960</v>
      </c>
      <c r="F1050" s="19">
        <v>4805</v>
      </c>
      <c r="G1050" s="19">
        <v>5743.8</v>
      </c>
      <c r="H1050" s="19">
        <v>6238.93</v>
      </c>
      <c r="I1050" s="10">
        <v>5535</v>
      </c>
      <c r="J1050" s="10">
        <v>4353.69</v>
      </c>
      <c r="K1050" s="10">
        <v>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v>0</v>
      </c>
      <c r="R1050" s="9">
        <v>0</v>
      </c>
    </row>
    <row r="1051" spans="1:18" ht="12.75" hidden="1">
      <c r="A1051" s="3" t="s">
        <v>824</v>
      </c>
      <c r="B1051" s="11" t="s">
        <v>825</v>
      </c>
      <c r="E1051" s="3" t="s">
        <v>826</v>
      </c>
      <c r="F1051" s="19">
        <v>3184</v>
      </c>
      <c r="G1051" s="19">
        <v>3237.41</v>
      </c>
      <c r="H1051" s="19">
        <v>2685.8</v>
      </c>
      <c r="I1051" s="10">
        <v>5992.09</v>
      </c>
      <c r="J1051" s="9">
        <v>2667.97</v>
      </c>
      <c r="K1051" s="10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</row>
    <row r="1052" spans="1:18" ht="12.75" hidden="1">
      <c r="A1052" s="3" t="s">
        <v>827</v>
      </c>
      <c r="B1052" s="11" t="s">
        <v>828</v>
      </c>
      <c r="E1052" s="3" t="s">
        <v>2963</v>
      </c>
      <c r="F1052" s="19">
        <v>297</v>
      </c>
      <c r="G1052" s="19">
        <v>309.85</v>
      </c>
      <c r="H1052" s="19">
        <v>817.75</v>
      </c>
      <c r="I1052" s="10">
        <v>998.7</v>
      </c>
      <c r="J1052" s="9">
        <v>643.85</v>
      </c>
      <c r="K1052" s="10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</row>
    <row r="1053" spans="1:17" ht="12.75">
      <c r="A1053" s="3" t="s">
        <v>829</v>
      </c>
      <c r="B1053" s="11" t="s">
        <v>830</v>
      </c>
      <c r="C1053" s="36">
        <v>524400</v>
      </c>
      <c r="E1053" s="3" t="s">
        <v>831</v>
      </c>
      <c r="F1053" s="19">
        <v>6242</v>
      </c>
      <c r="G1053" s="19">
        <v>7993.2</v>
      </c>
      <c r="H1053" s="19">
        <v>6396.38</v>
      </c>
      <c r="I1053" s="10">
        <v>8141.32</v>
      </c>
      <c r="J1053" s="9">
        <v>6648.09</v>
      </c>
      <c r="K1053" s="10">
        <v>7577.55</v>
      </c>
      <c r="L1053" s="9">
        <v>7754.46</v>
      </c>
      <c r="M1053" s="9">
        <v>8368.43</v>
      </c>
      <c r="N1053" s="9">
        <v>7974.05</v>
      </c>
      <c r="O1053" s="9">
        <v>8150</v>
      </c>
      <c r="P1053" s="9">
        <v>8150</v>
      </c>
      <c r="Q1053" s="9">
        <v>8395</v>
      </c>
    </row>
    <row r="1054" spans="1:17" ht="12.75">
      <c r="A1054" s="3" t="s">
        <v>832</v>
      </c>
      <c r="B1054" s="11" t="s">
        <v>833</v>
      </c>
      <c r="C1054" s="36">
        <v>534100</v>
      </c>
      <c r="E1054" s="3" t="s">
        <v>2470</v>
      </c>
      <c r="F1054" s="19">
        <v>1644</v>
      </c>
      <c r="G1054" s="19">
        <v>1666.71</v>
      </c>
      <c r="H1054" s="19">
        <v>1805.63</v>
      </c>
      <c r="I1054" s="10">
        <v>1991.74</v>
      </c>
      <c r="J1054" s="9">
        <v>1820.87</v>
      </c>
      <c r="K1054" s="10">
        <v>1374.42</v>
      </c>
      <c r="L1054" s="9">
        <v>1031.61</v>
      </c>
      <c r="M1054" s="9">
        <v>1034.67</v>
      </c>
      <c r="N1054" s="9">
        <v>615.94</v>
      </c>
      <c r="O1054" s="9">
        <v>1630</v>
      </c>
      <c r="P1054" s="9">
        <v>1630</v>
      </c>
      <c r="Q1054" s="9">
        <v>1680</v>
      </c>
    </row>
    <row r="1055" spans="1:18" ht="12.75" hidden="1">
      <c r="A1055" s="3" t="s">
        <v>834</v>
      </c>
      <c r="B1055" s="11" t="s">
        <v>835</v>
      </c>
      <c r="E1055" s="3" t="s">
        <v>836</v>
      </c>
      <c r="F1055" s="19">
        <v>5226</v>
      </c>
      <c r="G1055" s="19">
        <v>4390.89</v>
      </c>
      <c r="H1055" s="19">
        <v>3846.2</v>
      </c>
      <c r="I1055" s="10">
        <v>12125.26</v>
      </c>
      <c r="J1055" s="10">
        <v>0</v>
      </c>
      <c r="K1055" s="10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</row>
    <row r="1056" spans="1:18" ht="12.75" hidden="1">
      <c r="A1056" s="3" t="s">
        <v>837</v>
      </c>
      <c r="B1056" s="11" t="s">
        <v>838</v>
      </c>
      <c r="E1056" s="3" t="s">
        <v>839</v>
      </c>
      <c r="F1056" s="19">
        <v>9317</v>
      </c>
      <c r="G1056" s="19">
        <v>0</v>
      </c>
      <c r="H1056" s="19">
        <v>0</v>
      </c>
      <c r="I1056" s="10">
        <v>0</v>
      </c>
      <c r="J1056" s="9">
        <v>0</v>
      </c>
      <c r="K1056" s="10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</row>
    <row r="1057" spans="1:17" ht="12.75">
      <c r="A1057" s="3" t="s">
        <v>852</v>
      </c>
      <c r="B1057" s="11" t="s">
        <v>853</v>
      </c>
      <c r="C1057" s="36">
        <v>548000</v>
      </c>
      <c r="E1057" s="3" t="s">
        <v>854</v>
      </c>
      <c r="F1057" s="19">
        <v>30950</v>
      </c>
      <c r="G1057" s="19">
        <v>28930.62</v>
      </c>
      <c r="H1057" s="19">
        <v>38037.89</v>
      </c>
      <c r="I1057" s="10">
        <v>32013.85</v>
      </c>
      <c r="J1057" s="9">
        <v>33011.31</v>
      </c>
      <c r="K1057" s="10">
        <v>32951.91</v>
      </c>
      <c r="L1057" s="9">
        <v>34417.17</v>
      </c>
      <c r="M1057" s="9">
        <v>35847.57</v>
      </c>
      <c r="N1057" s="9">
        <v>45857.94</v>
      </c>
      <c r="O1057" s="9">
        <v>36660</v>
      </c>
      <c r="P1057" s="9">
        <v>36660</v>
      </c>
      <c r="Q1057" s="9">
        <v>37760</v>
      </c>
    </row>
    <row r="1058" spans="1:17" ht="12.75">
      <c r="A1058" s="3" t="s">
        <v>846</v>
      </c>
      <c r="B1058" s="11" t="s">
        <v>847</v>
      </c>
      <c r="C1058" s="36">
        <v>548700</v>
      </c>
      <c r="E1058" s="3" t="s">
        <v>848</v>
      </c>
      <c r="F1058" s="19">
        <v>3163</v>
      </c>
      <c r="G1058" s="19">
        <v>2983.67</v>
      </c>
      <c r="H1058" s="19">
        <v>4326.32</v>
      </c>
      <c r="I1058" s="10">
        <v>3518.94</v>
      </c>
      <c r="J1058" s="9">
        <v>3811.2</v>
      </c>
      <c r="K1058" s="10">
        <v>3821.69</v>
      </c>
      <c r="L1058" s="9">
        <v>3560.48</v>
      </c>
      <c r="M1058" s="9">
        <v>3922.73</v>
      </c>
      <c r="N1058" s="9">
        <v>2596.13</v>
      </c>
      <c r="O1058" s="9">
        <v>5320</v>
      </c>
      <c r="P1058" s="9">
        <v>5320</v>
      </c>
      <c r="Q1058" s="9">
        <v>5850</v>
      </c>
    </row>
    <row r="1059" spans="1:17" ht="12.75">
      <c r="A1059" s="3" t="s">
        <v>849</v>
      </c>
      <c r="B1059" s="11" t="s">
        <v>850</v>
      </c>
      <c r="C1059" s="36">
        <v>548800</v>
      </c>
      <c r="E1059" s="3" t="s">
        <v>851</v>
      </c>
      <c r="F1059" s="19">
        <v>5356</v>
      </c>
      <c r="G1059" s="19">
        <v>7564.14</v>
      </c>
      <c r="H1059" s="19">
        <v>7486.82</v>
      </c>
      <c r="I1059" s="10">
        <v>5249.59</v>
      </c>
      <c r="J1059" s="9">
        <v>7397.94</v>
      </c>
      <c r="K1059" s="10">
        <v>7501.02</v>
      </c>
      <c r="L1059" s="9">
        <v>7715.69</v>
      </c>
      <c r="M1059" s="9">
        <v>7852.83</v>
      </c>
      <c r="N1059" s="9">
        <v>7628.11</v>
      </c>
      <c r="O1059" s="9">
        <v>8038</v>
      </c>
      <c r="P1059" s="9">
        <v>8038</v>
      </c>
      <c r="Q1059" s="9">
        <v>8280</v>
      </c>
    </row>
    <row r="1060" spans="1:17" ht="12.75">
      <c r="A1060" s="3" t="s">
        <v>840</v>
      </c>
      <c r="B1060" s="11" t="s">
        <v>841</v>
      </c>
      <c r="C1060" s="36">
        <v>548900</v>
      </c>
      <c r="E1060" s="3" t="s">
        <v>842</v>
      </c>
      <c r="F1060" s="19">
        <v>12277</v>
      </c>
      <c r="G1060" s="19">
        <v>10174.17</v>
      </c>
      <c r="H1060" s="19">
        <v>4658.48</v>
      </c>
      <c r="I1060" s="10">
        <v>15863.95</v>
      </c>
      <c r="J1060" s="9">
        <v>8941.28</v>
      </c>
      <c r="K1060" s="10">
        <v>9067.47</v>
      </c>
      <c r="L1060" s="9">
        <v>13649.61</v>
      </c>
      <c r="M1060" s="9">
        <v>18304.73</v>
      </c>
      <c r="N1060" s="9">
        <v>22810.63</v>
      </c>
      <c r="O1060" s="9">
        <v>31750</v>
      </c>
      <c r="P1060" s="9">
        <v>31750</v>
      </c>
      <c r="Q1060" s="9">
        <v>34925</v>
      </c>
    </row>
    <row r="1061" spans="1:17" ht="12.75">
      <c r="A1061" s="3" t="s">
        <v>843</v>
      </c>
      <c r="B1061" s="11" t="s">
        <v>844</v>
      </c>
      <c r="C1061" s="36">
        <v>548900</v>
      </c>
      <c r="E1061" s="3" t="s">
        <v>845</v>
      </c>
      <c r="F1061" s="19">
        <v>16548</v>
      </c>
      <c r="G1061" s="19">
        <v>11857.48</v>
      </c>
      <c r="H1061" s="19">
        <v>9519.99</v>
      </c>
      <c r="I1061" s="10">
        <v>19930.71</v>
      </c>
      <c r="J1061" s="9">
        <v>12465.03</v>
      </c>
      <c r="K1061" s="10">
        <v>18131.32</v>
      </c>
      <c r="L1061" s="9">
        <v>18242.12</v>
      </c>
      <c r="M1061" s="9">
        <v>29370.87</v>
      </c>
      <c r="N1061" s="9">
        <v>28485.93</v>
      </c>
      <c r="O1061" s="9">
        <v>40780</v>
      </c>
      <c r="P1061" s="9">
        <v>40780</v>
      </c>
      <c r="Q1061" s="9">
        <v>44860</v>
      </c>
    </row>
    <row r="1062" spans="1:17" ht="12.75">
      <c r="A1062" s="3" t="s">
        <v>855</v>
      </c>
      <c r="B1062" s="11" t="s">
        <v>856</v>
      </c>
      <c r="C1062" s="36">
        <v>553100</v>
      </c>
      <c r="E1062" s="3" t="s">
        <v>857</v>
      </c>
      <c r="F1062" s="19">
        <v>29484</v>
      </c>
      <c r="G1062" s="19">
        <v>30918.8</v>
      </c>
      <c r="H1062" s="19">
        <v>33281.12</v>
      </c>
      <c r="I1062" s="10">
        <v>32680.37</v>
      </c>
      <c r="J1062" s="9">
        <v>35315.28</v>
      </c>
      <c r="K1062" s="10">
        <v>31674.83</v>
      </c>
      <c r="L1062" s="9">
        <v>32487.21</v>
      </c>
      <c r="M1062" s="9">
        <v>32679.93</v>
      </c>
      <c r="N1062" s="9">
        <v>33715.12</v>
      </c>
      <c r="O1062" s="9">
        <v>34530</v>
      </c>
      <c r="P1062" s="9">
        <v>34530</v>
      </c>
      <c r="Q1062" s="9">
        <v>35565</v>
      </c>
    </row>
    <row r="1063" spans="1:18" ht="12.75" hidden="1">
      <c r="A1063" s="3" t="s">
        <v>858</v>
      </c>
      <c r="B1063" s="11" t="s">
        <v>859</v>
      </c>
      <c r="E1063" s="3" t="s">
        <v>860</v>
      </c>
      <c r="F1063" s="19">
        <v>0</v>
      </c>
      <c r="H1063" s="19">
        <v>3897.55</v>
      </c>
      <c r="I1063" s="10">
        <v>0</v>
      </c>
      <c r="J1063" s="9">
        <v>0</v>
      </c>
      <c r="K1063" s="10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</row>
    <row r="1064" spans="2:18" ht="12.75" hidden="1">
      <c r="B1064" s="11" t="s">
        <v>861</v>
      </c>
      <c r="E1064" s="3" t="s">
        <v>862</v>
      </c>
      <c r="F1064" s="19">
        <v>9811</v>
      </c>
      <c r="I1064" s="10">
        <v>0</v>
      </c>
      <c r="J1064" s="9">
        <v>0</v>
      </c>
      <c r="K1064" s="10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</row>
    <row r="1065" spans="2:18" ht="12.75" hidden="1">
      <c r="B1065" s="11" t="s">
        <v>863</v>
      </c>
      <c r="E1065" s="3" t="s">
        <v>864</v>
      </c>
      <c r="F1065" s="19">
        <v>0</v>
      </c>
      <c r="G1065" s="19">
        <v>4765.08</v>
      </c>
      <c r="I1065" s="10">
        <v>0</v>
      </c>
      <c r="J1065" s="9">
        <v>76.62</v>
      </c>
      <c r="K1065" s="10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</row>
    <row r="1066" spans="2:18" ht="12.75" hidden="1">
      <c r="B1066" s="11" t="s">
        <v>865</v>
      </c>
      <c r="E1066" s="3" t="s">
        <v>866</v>
      </c>
      <c r="F1066" s="19">
        <v>0</v>
      </c>
      <c r="G1066" s="19">
        <v>4000</v>
      </c>
      <c r="H1066" s="19">
        <v>4020</v>
      </c>
      <c r="I1066" s="10">
        <v>0</v>
      </c>
      <c r="J1066" s="9">
        <v>0</v>
      </c>
      <c r="K1066" s="10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</row>
    <row r="1067" spans="5:17" ht="15">
      <c r="E1067" s="20" t="s">
        <v>2274</v>
      </c>
      <c r="I1067" s="10"/>
      <c r="K1067" s="10"/>
      <c r="L1067" s="32">
        <f aca="true" t="shared" si="236" ref="L1067:Q1067">SUM(L1053:L1062)</f>
        <v>118858.35</v>
      </c>
      <c r="M1067" s="46">
        <f t="shared" si="236"/>
        <v>137381.76</v>
      </c>
      <c r="N1067" s="46">
        <f t="shared" si="236"/>
        <v>149683.85</v>
      </c>
      <c r="O1067" s="46">
        <f t="shared" si="236"/>
        <v>166858</v>
      </c>
      <c r="P1067" s="46">
        <f t="shared" si="236"/>
        <v>166858</v>
      </c>
      <c r="Q1067" s="46">
        <f t="shared" si="236"/>
        <v>177315</v>
      </c>
    </row>
    <row r="1068" spans="3:11" ht="12.75">
      <c r="C1068" s="196">
        <v>14253</v>
      </c>
      <c r="I1068" s="10"/>
      <c r="K1068" s="10"/>
    </row>
    <row r="1069" spans="2:17" ht="12.75">
      <c r="B1069" s="36">
        <v>6263</v>
      </c>
      <c r="C1069" s="36">
        <v>587200</v>
      </c>
      <c r="E1069" s="3" t="s">
        <v>867</v>
      </c>
      <c r="F1069" s="19">
        <v>0</v>
      </c>
      <c r="H1069" s="19">
        <v>8983.42</v>
      </c>
      <c r="I1069" s="10">
        <v>1805.3</v>
      </c>
      <c r="J1069" s="9">
        <v>4700</v>
      </c>
      <c r="K1069" s="10">
        <v>0</v>
      </c>
      <c r="L1069" s="9">
        <v>1948.65</v>
      </c>
      <c r="M1069" s="9">
        <v>0</v>
      </c>
      <c r="N1069" s="9">
        <v>8500</v>
      </c>
      <c r="O1069" s="9">
        <v>6025</v>
      </c>
      <c r="P1069" s="9">
        <v>6025</v>
      </c>
      <c r="Q1069" s="9">
        <v>15100</v>
      </c>
    </row>
    <row r="1070" spans="5:18" ht="12.75">
      <c r="E1070" s="20" t="s">
        <v>2277</v>
      </c>
      <c r="F1070" s="25">
        <f aca="true" t="shared" si="237" ref="F1070:K1070">SUM(F1063:F1069)</f>
        <v>9811</v>
      </c>
      <c r="G1070" s="25">
        <f t="shared" si="237"/>
        <v>8765.08</v>
      </c>
      <c r="H1070" s="25">
        <f t="shared" si="237"/>
        <v>16900.97</v>
      </c>
      <c r="I1070" s="23">
        <f t="shared" si="237"/>
        <v>1805.3</v>
      </c>
      <c r="J1070" s="23">
        <f t="shared" si="237"/>
        <v>4776.62</v>
      </c>
      <c r="K1070" s="23">
        <f t="shared" si="237"/>
        <v>0</v>
      </c>
      <c r="L1070" s="7">
        <f aca="true" t="shared" si="238" ref="L1070:Q1070">SUM(L1069)</f>
        <v>1948.65</v>
      </c>
      <c r="M1070" s="7">
        <f t="shared" si="238"/>
        <v>0</v>
      </c>
      <c r="N1070" s="7">
        <f t="shared" si="238"/>
        <v>8500</v>
      </c>
      <c r="O1070" s="7">
        <f t="shared" si="238"/>
        <v>6025</v>
      </c>
      <c r="P1070" s="7">
        <f t="shared" si="238"/>
        <v>6025</v>
      </c>
      <c r="Q1070" s="7">
        <f t="shared" si="238"/>
        <v>15100</v>
      </c>
      <c r="R1070" s="7">
        <f>SUM(R1053:R1069)</f>
        <v>0</v>
      </c>
    </row>
    <row r="1071" ht="12.75">
      <c r="I1071" s="10"/>
    </row>
    <row r="1072" spans="5:18" ht="12.75">
      <c r="E1072" s="2" t="s">
        <v>2113</v>
      </c>
      <c r="F1072" s="31">
        <f aca="true" t="shared" si="239" ref="F1072:K1072">SUM(F1041:F1070)/2</f>
        <v>253874.5</v>
      </c>
      <c r="G1072" s="31">
        <f t="shared" si="239"/>
        <v>240877.17999999996</v>
      </c>
      <c r="H1072" s="31">
        <f t="shared" si="239"/>
        <v>244830.055</v>
      </c>
      <c r="I1072" s="28">
        <f t="shared" si="239"/>
        <v>267798.7500000001</v>
      </c>
      <c r="J1072" s="28">
        <f t="shared" si="239"/>
        <v>317648.235</v>
      </c>
      <c r="K1072" s="28">
        <f t="shared" si="239"/>
        <v>343451.70499999996</v>
      </c>
      <c r="L1072" s="32">
        <f>SUM(L1041:L1070)/2</f>
        <v>412911.05</v>
      </c>
      <c r="M1072" s="32">
        <f aca="true" t="shared" si="240" ref="M1072:R1072">SUM(M1041:M1070)/2</f>
        <v>431216.97000000003</v>
      </c>
      <c r="N1072" s="32">
        <f t="shared" si="240"/>
        <v>451792.99</v>
      </c>
      <c r="O1072" s="32">
        <f>SUM(O1070+O1048)</f>
        <v>376899</v>
      </c>
      <c r="P1072" s="32">
        <f>SUM(P1070+P1048)</f>
        <v>328899</v>
      </c>
      <c r="Q1072" s="32">
        <f>SUM(Q1070+Q1048)</f>
        <v>387327</v>
      </c>
      <c r="R1072" s="32">
        <f t="shared" si="240"/>
        <v>0</v>
      </c>
    </row>
    <row r="1073" spans="5:9" ht="12.75">
      <c r="E1073" s="2"/>
      <c r="F1073" s="31"/>
      <c r="G1073" s="31"/>
      <c r="H1073" s="31"/>
      <c r="I1073" s="28"/>
    </row>
    <row r="1074" spans="1:10" ht="12.75">
      <c r="A1074" s="3" t="s">
        <v>2180</v>
      </c>
      <c r="C1074" s="196">
        <v>14261</v>
      </c>
      <c r="D1074" s="196"/>
      <c r="E1074" s="163" t="s">
        <v>868</v>
      </c>
      <c r="I1074" s="10"/>
      <c r="J1074" s="10"/>
    </row>
    <row r="1075" spans="1:17" ht="12.75">
      <c r="A1075" s="3" t="s">
        <v>869</v>
      </c>
      <c r="B1075" s="11" t="s">
        <v>870</v>
      </c>
      <c r="C1075" s="36">
        <v>511000</v>
      </c>
      <c r="E1075" s="3" t="s">
        <v>2363</v>
      </c>
      <c r="F1075" s="19">
        <v>4969</v>
      </c>
      <c r="G1075" s="19">
        <v>24731.32</v>
      </c>
      <c r="H1075" s="19">
        <v>19613.33</v>
      </c>
      <c r="I1075" s="10">
        <v>16618.96</v>
      </c>
      <c r="J1075" s="9">
        <v>26126.58</v>
      </c>
      <c r="K1075" s="10">
        <v>29570.67</v>
      </c>
      <c r="L1075" s="9">
        <v>14339.79</v>
      </c>
      <c r="M1075" s="9">
        <v>16749.35</v>
      </c>
      <c r="N1075" s="9">
        <v>29728.78</v>
      </c>
      <c r="O1075" s="9">
        <v>31790</v>
      </c>
      <c r="P1075" s="9">
        <v>20861</v>
      </c>
      <c r="Q1075" s="9">
        <v>31243</v>
      </c>
    </row>
    <row r="1076" spans="2:14" ht="12.75" hidden="1">
      <c r="B1076" s="11" t="s">
        <v>871</v>
      </c>
      <c r="E1076" s="3" t="s">
        <v>2288</v>
      </c>
      <c r="F1076" s="19">
        <v>0</v>
      </c>
      <c r="G1076" s="19">
        <v>0</v>
      </c>
      <c r="H1076" s="19">
        <v>0</v>
      </c>
      <c r="I1076" s="10">
        <v>0</v>
      </c>
      <c r="J1076" s="9">
        <v>0</v>
      </c>
      <c r="K1076" s="10">
        <v>0</v>
      </c>
      <c r="L1076" s="9">
        <v>0</v>
      </c>
      <c r="M1076" s="9">
        <v>0</v>
      </c>
      <c r="N1076" s="9">
        <v>0</v>
      </c>
    </row>
    <row r="1077" spans="1:17" ht="12.75">
      <c r="A1077" s="3" t="s">
        <v>874</v>
      </c>
      <c r="B1077" s="11" t="s">
        <v>875</v>
      </c>
      <c r="C1077" s="36">
        <v>517000</v>
      </c>
      <c r="E1077" s="3" t="s">
        <v>2222</v>
      </c>
      <c r="F1077" s="19">
        <v>0</v>
      </c>
      <c r="G1077" s="19">
        <v>0</v>
      </c>
      <c r="H1077" s="19">
        <v>0</v>
      </c>
      <c r="I1077" s="10">
        <v>0</v>
      </c>
      <c r="J1077" s="9">
        <v>0</v>
      </c>
      <c r="K1077" s="10">
        <v>0</v>
      </c>
      <c r="L1077" s="9">
        <v>4118</v>
      </c>
      <c r="M1077" s="9">
        <v>4624.03</v>
      </c>
      <c r="N1077" s="9">
        <v>12989</v>
      </c>
      <c r="O1077" s="9">
        <v>5404</v>
      </c>
      <c r="P1077" s="9">
        <v>5404</v>
      </c>
      <c r="Q1077" s="9">
        <v>0</v>
      </c>
    </row>
    <row r="1078" spans="1:17" ht="12.75">
      <c r="A1078" s="3" t="s">
        <v>872</v>
      </c>
      <c r="B1078" s="11" t="s">
        <v>873</v>
      </c>
      <c r="C1078" s="36">
        <v>517200</v>
      </c>
      <c r="E1078" s="3" t="s">
        <v>2216</v>
      </c>
      <c r="F1078" s="19">
        <v>2257</v>
      </c>
      <c r="G1078" s="19">
        <v>1693</v>
      </c>
      <c r="H1078" s="19">
        <v>1693</v>
      </c>
      <c r="I1078" s="10">
        <v>1693</v>
      </c>
      <c r="J1078" s="9">
        <v>1693</v>
      </c>
      <c r="K1078" s="10">
        <v>1693</v>
      </c>
      <c r="L1078" s="9">
        <v>1693</v>
      </c>
      <c r="M1078" s="9">
        <v>1266</v>
      </c>
      <c r="N1078" s="9">
        <v>1128</v>
      </c>
      <c r="O1078" s="9">
        <v>1332</v>
      </c>
      <c r="P1078" s="9">
        <v>1332</v>
      </c>
      <c r="Q1078" s="9">
        <v>1399</v>
      </c>
    </row>
    <row r="1079" spans="1:17" ht="12.75">
      <c r="A1079" s="3" t="s">
        <v>876</v>
      </c>
      <c r="B1079" s="11" t="s">
        <v>877</v>
      </c>
      <c r="C1079" s="36">
        <v>517800</v>
      </c>
      <c r="E1079" s="3" t="s">
        <v>2298</v>
      </c>
      <c r="F1079" s="19">
        <v>0</v>
      </c>
      <c r="G1079" s="19">
        <v>0</v>
      </c>
      <c r="H1079" s="19">
        <v>324</v>
      </c>
      <c r="I1079" s="10">
        <v>550</v>
      </c>
      <c r="J1079" s="9">
        <v>0</v>
      </c>
      <c r="K1079" s="10">
        <v>340</v>
      </c>
      <c r="L1079" s="9">
        <v>340</v>
      </c>
      <c r="M1079" s="9">
        <v>320</v>
      </c>
      <c r="N1079" s="9">
        <v>350</v>
      </c>
      <c r="O1079" s="9">
        <v>350</v>
      </c>
      <c r="P1079" s="9">
        <v>350</v>
      </c>
      <c r="Q1079" s="9">
        <v>402</v>
      </c>
    </row>
    <row r="1080" spans="5:18" ht="12.75">
      <c r="E1080" s="20" t="s">
        <v>2187</v>
      </c>
      <c r="F1080" s="21">
        <f aca="true" t="shared" si="241" ref="F1080:L1080">SUM(F1075:F1079)</f>
        <v>7226</v>
      </c>
      <c r="G1080" s="21">
        <f t="shared" si="241"/>
        <v>26424.32</v>
      </c>
      <c r="H1080" s="21">
        <f t="shared" si="241"/>
        <v>21630.33</v>
      </c>
      <c r="I1080" s="22">
        <f t="shared" si="241"/>
        <v>18861.96</v>
      </c>
      <c r="J1080" s="23">
        <f t="shared" si="241"/>
        <v>27819.58</v>
      </c>
      <c r="K1080" s="23">
        <f t="shared" si="241"/>
        <v>31603.67</v>
      </c>
      <c r="L1080" s="7">
        <f t="shared" si="241"/>
        <v>20490.79</v>
      </c>
      <c r="M1080" s="7">
        <f aca="true" t="shared" si="242" ref="M1080:R1080">SUM(M1075:M1079)</f>
        <v>22959.379999999997</v>
      </c>
      <c r="N1080" s="7">
        <f t="shared" si="242"/>
        <v>44195.78</v>
      </c>
      <c r="O1080" s="7">
        <f t="shared" si="242"/>
        <v>38876</v>
      </c>
      <c r="P1080" s="7">
        <f t="shared" si="242"/>
        <v>27947</v>
      </c>
      <c r="Q1080" s="7">
        <f t="shared" si="242"/>
        <v>33044</v>
      </c>
      <c r="R1080" s="7">
        <f t="shared" si="242"/>
        <v>0</v>
      </c>
    </row>
    <row r="1081" spans="3:9" ht="12.75">
      <c r="C1081" s="196">
        <v>14262</v>
      </c>
      <c r="D1081" s="196"/>
      <c r="I1081" s="10"/>
    </row>
    <row r="1082" spans="1:17" ht="12.75">
      <c r="A1082" s="3" t="s">
        <v>887</v>
      </c>
      <c r="B1082" s="11" t="s">
        <v>888</v>
      </c>
      <c r="C1082" s="36">
        <v>530000</v>
      </c>
      <c r="E1082" s="3" t="s">
        <v>889</v>
      </c>
      <c r="F1082" s="19">
        <v>7558</v>
      </c>
      <c r="G1082" s="19">
        <v>12636.88</v>
      </c>
      <c r="H1082" s="19">
        <v>8534.24</v>
      </c>
      <c r="I1082" s="10">
        <v>12033.41</v>
      </c>
      <c r="J1082" s="10">
        <v>12321.01</v>
      </c>
      <c r="K1082" s="10">
        <v>11722.3</v>
      </c>
      <c r="L1082" s="9">
        <v>12144</v>
      </c>
      <c r="M1082" s="9">
        <v>10500</v>
      </c>
      <c r="N1082" s="9">
        <v>12421.1</v>
      </c>
      <c r="O1082" s="9">
        <v>12500</v>
      </c>
      <c r="P1082" s="9">
        <v>12500</v>
      </c>
      <c r="Q1082" s="9">
        <v>13125</v>
      </c>
    </row>
    <row r="1083" spans="1:17" ht="12.75">
      <c r="A1083" s="3" t="s">
        <v>878</v>
      </c>
      <c r="B1083" s="11" t="s">
        <v>879</v>
      </c>
      <c r="C1083" s="36">
        <v>530002</v>
      </c>
      <c r="E1083" s="3" t="s">
        <v>880</v>
      </c>
      <c r="F1083" s="19">
        <v>115047</v>
      </c>
      <c r="G1083" s="19">
        <v>103984.6</v>
      </c>
      <c r="H1083" s="19">
        <v>107236.46</v>
      </c>
      <c r="I1083" s="10">
        <v>112253.7</v>
      </c>
      <c r="J1083" s="10">
        <v>106527.88</v>
      </c>
      <c r="K1083" s="10">
        <v>110634.74</v>
      </c>
      <c r="L1083" s="9">
        <v>116698.79</v>
      </c>
      <c r="M1083" s="9">
        <v>130352.45</v>
      </c>
      <c r="N1083" s="9">
        <v>128993.46</v>
      </c>
      <c r="O1083" s="9">
        <v>134320</v>
      </c>
      <c r="P1083" s="9">
        <v>134320</v>
      </c>
      <c r="Q1083" s="9">
        <v>138350</v>
      </c>
    </row>
    <row r="1084" spans="1:17" ht="12.75">
      <c r="A1084" s="3" t="s">
        <v>881</v>
      </c>
      <c r="B1084" s="11" t="s">
        <v>882</v>
      </c>
      <c r="C1084" s="36">
        <v>530003</v>
      </c>
      <c r="E1084" s="3" t="s">
        <v>883</v>
      </c>
      <c r="F1084" s="19">
        <v>19810</v>
      </c>
      <c r="G1084" s="19">
        <v>19810</v>
      </c>
      <c r="H1084" s="19">
        <v>19740</v>
      </c>
      <c r="I1084" s="10">
        <v>20308.08</v>
      </c>
      <c r="J1084" s="9">
        <v>20320</v>
      </c>
      <c r="K1084" s="10">
        <v>20320</v>
      </c>
      <c r="L1084" s="9">
        <v>21540</v>
      </c>
      <c r="M1084" s="9">
        <v>21465</v>
      </c>
      <c r="N1084" s="9">
        <v>21540</v>
      </c>
      <c r="O1084" s="9">
        <v>22840</v>
      </c>
      <c r="P1084" s="9">
        <v>22840</v>
      </c>
      <c r="Q1084" s="9">
        <v>22840</v>
      </c>
    </row>
    <row r="1085" spans="1:17" ht="12.75">
      <c r="A1085" s="3" t="s">
        <v>885</v>
      </c>
      <c r="B1085" s="11" t="s">
        <v>886</v>
      </c>
      <c r="C1085" s="36">
        <v>531600</v>
      </c>
      <c r="E1085" s="3" t="s">
        <v>781</v>
      </c>
      <c r="F1085" s="19">
        <v>2494</v>
      </c>
      <c r="G1085" s="19">
        <v>3156.76</v>
      </c>
      <c r="H1085" s="19">
        <v>3871.53</v>
      </c>
      <c r="I1085" s="10">
        <v>4496.73</v>
      </c>
      <c r="J1085" s="9">
        <v>4701</v>
      </c>
      <c r="K1085" s="10">
        <v>4600.92</v>
      </c>
      <c r="L1085" s="9">
        <v>5346.96</v>
      </c>
      <c r="M1085" s="9">
        <v>3360.95</v>
      </c>
      <c r="N1085" s="9">
        <v>5357.63</v>
      </c>
      <c r="O1085" s="9">
        <v>5560</v>
      </c>
      <c r="P1085" s="9">
        <v>5560</v>
      </c>
      <c r="Q1085" s="9">
        <v>5730</v>
      </c>
    </row>
    <row r="1086" spans="1:17" ht="12.75">
      <c r="A1086" s="3" t="s">
        <v>890</v>
      </c>
      <c r="B1086" s="11" t="s">
        <v>891</v>
      </c>
      <c r="C1086" s="36">
        <v>571000</v>
      </c>
      <c r="E1086" s="3" t="s">
        <v>2270</v>
      </c>
      <c r="F1086" s="19">
        <v>20</v>
      </c>
      <c r="G1086" s="19">
        <v>147</v>
      </c>
      <c r="H1086" s="19">
        <v>0</v>
      </c>
      <c r="I1086" s="10">
        <v>40</v>
      </c>
      <c r="J1086" s="10">
        <v>105</v>
      </c>
      <c r="K1086" s="10">
        <v>180</v>
      </c>
      <c r="L1086" s="9">
        <v>0</v>
      </c>
      <c r="M1086" s="9">
        <v>155</v>
      </c>
      <c r="N1086" s="9">
        <v>105</v>
      </c>
      <c r="O1086" s="9">
        <v>180</v>
      </c>
      <c r="P1086" s="9">
        <v>180</v>
      </c>
      <c r="Q1086" s="9">
        <v>180</v>
      </c>
    </row>
    <row r="1087" spans="1:17" ht="12.75">
      <c r="A1087" s="3" t="s">
        <v>892</v>
      </c>
      <c r="B1087" s="11" t="s">
        <v>893</v>
      </c>
      <c r="C1087" s="36">
        <v>573000</v>
      </c>
      <c r="E1087" s="3" t="s">
        <v>2395</v>
      </c>
      <c r="F1087" s="19">
        <v>100</v>
      </c>
      <c r="G1087" s="19">
        <v>35</v>
      </c>
      <c r="H1087" s="19">
        <v>0</v>
      </c>
      <c r="I1087" s="10">
        <v>125</v>
      </c>
      <c r="J1087" s="9">
        <v>15</v>
      </c>
      <c r="K1087" s="10">
        <v>120</v>
      </c>
      <c r="L1087" s="9">
        <v>35</v>
      </c>
      <c r="M1087" s="9">
        <v>75</v>
      </c>
      <c r="N1087" s="9">
        <v>120</v>
      </c>
      <c r="O1087" s="9">
        <v>120</v>
      </c>
      <c r="P1087" s="9">
        <v>120</v>
      </c>
      <c r="Q1087" s="9">
        <v>120</v>
      </c>
    </row>
    <row r="1088" spans="5:18" ht="12.75">
      <c r="E1088" s="20" t="s">
        <v>2274</v>
      </c>
      <c r="F1088" s="21">
        <f aca="true" t="shared" si="243" ref="F1088:K1088">SUM(F1086:F1087)</f>
        <v>120</v>
      </c>
      <c r="G1088" s="21">
        <f t="shared" si="243"/>
        <v>182</v>
      </c>
      <c r="H1088" s="21">
        <f t="shared" si="243"/>
        <v>0</v>
      </c>
      <c r="I1088" s="22">
        <f t="shared" si="243"/>
        <v>165</v>
      </c>
      <c r="J1088" s="23">
        <f t="shared" si="243"/>
        <v>120</v>
      </c>
      <c r="K1088" s="23">
        <f t="shared" si="243"/>
        <v>300</v>
      </c>
      <c r="L1088" s="7">
        <f>SUM(L1082:L1087)</f>
        <v>155764.74999999997</v>
      </c>
      <c r="M1088" s="7">
        <f aca="true" t="shared" si="244" ref="M1088:R1088">SUM(M1082:M1087)</f>
        <v>165908.40000000002</v>
      </c>
      <c r="N1088" s="7">
        <f t="shared" si="244"/>
        <v>168537.19</v>
      </c>
      <c r="O1088" s="7">
        <f>SUM(O1082:O1087)</f>
        <v>175520</v>
      </c>
      <c r="P1088" s="7">
        <f t="shared" si="244"/>
        <v>175520</v>
      </c>
      <c r="Q1088" s="7">
        <f t="shared" si="244"/>
        <v>180345</v>
      </c>
      <c r="R1088" s="7">
        <f t="shared" si="244"/>
        <v>0</v>
      </c>
    </row>
    <row r="1089" ht="12.75">
      <c r="I1089" s="10"/>
    </row>
    <row r="1090" spans="5:18" ht="12.75">
      <c r="E1090" s="2" t="s">
        <v>894</v>
      </c>
      <c r="F1090" s="31">
        <f aca="true" t="shared" si="245" ref="F1090:K1090">SUM(F1075:F1088)/2</f>
        <v>79800.5</v>
      </c>
      <c r="G1090" s="31">
        <f t="shared" si="245"/>
        <v>96400.44</v>
      </c>
      <c r="H1090" s="31">
        <f t="shared" si="245"/>
        <v>91321.445</v>
      </c>
      <c r="I1090" s="28">
        <f t="shared" si="245"/>
        <v>93572.92</v>
      </c>
      <c r="J1090" s="28">
        <f t="shared" si="245"/>
        <v>99874.525</v>
      </c>
      <c r="K1090" s="28">
        <f t="shared" si="245"/>
        <v>105542.65000000001</v>
      </c>
      <c r="L1090" s="32">
        <f>SUM(L1075:L1088)/2</f>
        <v>176255.53999999998</v>
      </c>
      <c r="M1090" s="32">
        <f aca="true" t="shared" si="246" ref="M1090:R1090">SUM(M1075:M1088)/2</f>
        <v>188867.78000000003</v>
      </c>
      <c r="N1090" s="32">
        <f t="shared" si="246"/>
        <v>212732.97</v>
      </c>
      <c r="O1090" s="32">
        <f t="shared" si="246"/>
        <v>214396</v>
      </c>
      <c r="P1090" s="32">
        <f t="shared" si="246"/>
        <v>203467</v>
      </c>
      <c r="Q1090" s="32">
        <f t="shared" si="246"/>
        <v>213389</v>
      </c>
      <c r="R1090" s="32">
        <f t="shared" si="246"/>
        <v>0</v>
      </c>
    </row>
    <row r="1091" spans="5:10" ht="12.75">
      <c r="E1091" s="38"/>
      <c r="I1091" s="10"/>
      <c r="J1091" s="10"/>
    </row>
    <row r="1092" spans="1:10" ht="12.75">
      <c r="A1092" s="3" t="s">
        <v>2180</v>
      </c>
      <c r="C1092" s="196">
        <v>16511</v>
      </c>
      <c r="D1092" s="196"/>
      <c r="E1092" s="163" t="s">
        <v>895</v>
      </c>
      <c r="I1092" s="10"/>
      <c r="J1092" s="10"/>
    </row>
    <row r="1093" spans="1:17" ht="12.75">
      <c r="A1093" s="3" t="s">
        <v>896</v>
      </c>
      <c r="B1093" s="11" t="s">
        <v>897</v>
      </c>
      <c r="C1093" s="36">
        <v>511000</v>
      </c>
      <c r="E1093" s="3" t="s">
        <v>617</v>
      </c>
      <c r="F1093" s="19">
        <v>27768</v>
      </c>
      <c r="G1093" s="19">
        <v>30569.1</v>
      </c>
      <c r="H1093" s="19">
        <v>28876.55</v>
      </c>
      <c r="I1093" s="10">
        <v>38552.11</v>
      </c>
      <c r="J1093" s="9">
        <v>31692.53</v>
      </c>
      <c r="K1093" s="10">
        <v>29088.38</v>
      </c>
      <c r="L1093" s="9">
        <v>31293.03</v>
      </c>
      <c r="M1093" s="9">
        <v>34055.61</v>
      </c>
      <c r="N1093" s="9">
        <v>25595.35</v>
      </c>
      <c r="O1093" s="9">
        <v>35735</v>
      </c>
      <c r="P1093" s="9">
        <v>32125</v>
      </c>
      <c r="Q1093" s="9">
        <v>34784</v>
      </c>
    </row>
    <row r="1094" spans="1:17" ht="12.75">
      <c r="A1094" s="3" t="s">
        <v>898</v>
      </c>
      <c r="B1094" s="11" t="s">
        <v>899</v>
      </c>
      <c r="C1094" s="36">
        <v>512000</v>
      </c>
      <c r="E1094" s="3" t="s">
        <v>900</v>
      </c>
      <c r="F1094" s="19">
        <v>12385</v>
      </c>
      <c r="G1094" s="19">
        <v>16765</v>
      </c>
      <c r="H1094" s="19">
        <v>15624</v>
      </c>
      <c r="I1094" s="10">
        <v>15410</v>
      </c>
      <c r="J1094" s="9">
        <v>17236.5</v>
      </c>
      <c r="K1094" s="10">
        <v>22837.5</v>
      </c>
      <c r="L1094" s="9">
        <v>22671</v>
      </c>
      <c r="M1094" s="9">
        <v>24862.5</v>
      </c>
      <c r="N1094" s="9">
        <v>17352</v>
      </c>
      <c r="O1094" s="9">
        <v>0</v>
      </c>
      <c r="Q1094" s="9">
        <v>28100</v>
      </c>
    </row>
    <row r="1095" spans="1:14" ht="12.75" hidden="1">
      <c r="A1095" s="3" t="s">
        <v>901</v>
      </c>
      <c r="B1095" s="11" t="s">
        <v>902</v>
      </c>
      <c r="C1095" s="36">
        <v>514800</v>
      </c>
      <c r="E1095" s="3" t="s">
        <v>2288</v>
      </c>
      <c r="F1095" s="19">
        <v>0</v>
      </c>
      <c r="G1095" s="19">
        <v>0</v>
      </c>
      <c r="H1095" s="19">
        <v>112.5</v>
      </c>
      <c r="I1095" s="10">
        <v>112.5</v>
      </c>
      <c r="J1095" s="9">
        <v>75</v>
      </c>
      <c r="K1095" s="10">
        <v>0</v>
      </c>
      <c r="L1095" s="9">
        <v>0</v>
      </c>
      <c r="N1095" s="9">
        <v>0</v>
      </c>
    </row>
    <row r="1096" spans="1:17" ht="12.75">
      <c r="A1096" s="3" t="s">
        <v>923</v>
      </c>
      <c r="B1096" s="11" t="s">
        <v>924</v>
      </c>
      <c r="C1096" s="36">
        <v>517000</v>
      </c>
      <c r="E1096" s="3" t="s">
        <v>2222</v>
      </c>
      <c r="F1096" s="19">
        <v>5068</v>
      </c>
      <c r="G1096" s="19">
        <v>5670</v>
      </c>
      <c r="H1096" s="19">
        <v>6215</v>
      </c>
      <c r="I1096" s="10">
        <v>6889</v>
      </c>
      <c r="J1096" s="9">
        <v>11684</v>
      </c>
      <c r="K1096" s="10">
        <v>13216</v>
      </c>
      <c r="L1096" s="9">
        <v>4118</v>
      </c>
      <c r="M1096" s="9">
        <v>4624.03</v>
      </c>
      <c r="N1096" s="9">
        <v>12989</v>
      </c>
      <c r="O1096" s="9">
        <v>0</v>
      </c>
      <c r="Q1096" s="9">
        <v>0</v>
      </c>
    </row>
    <row r="1097" spans="1:17" ht="12.75">
      <c r="A1097" s="3" t="s">
        <v>903</v>
      </c>
      <c r="B1097" s="11" t="s">
        <v>904</v>
      </c>
      <c r="C1097" s="36">
        <v>517200</v>
      </c>
      <c r="E1097" s="3" t="s">
        <v>2291</v>
      </c>
      <c r="F1097" s="19">
        <v>3605</v>
      </c>
      <c r="G1097" s="19">
        <v>2704</v>
      </c>
      <c r="H1097" s="19">
        <v>2704</v>
      </c>
      <c r="I1097" s="10">
        <v>2704</v>
      </c>
      <c r="J1097" s="9">
        <v>2704</v>
      </c>
      <c r="K1097" s="10">
        <v>2704</v>
      </c>
      <c r="L1097" s="9">
        <v>2704</v>
      </c>
      <c r="M1097" s="9">
        <v>1358</v>
      </c>
      <c r="N1097" s="9">
        <v>1209</v>
      </c>
      <c r="O1097" s="9">
        <v>1428</v>
      </c>
      <c r="P1097" s="9">
        <v>1428</v>
      </c>
      <c r="Q1097" s="9">
        <v>1499</v>
      </c>
    </row>
    <row r="1098" spans="1:17" ht="12.75">
      <c r="A1098" s="3" t="s">
        <v>925</v>
      </c>
      <c r="B1098" s="11" t="s">
        <v>926</v>
      </c>
      <c r="C1098" s="36">
        <v>517800</v>
      </c>
      <c r="E1098" s="3" t="s">
        <v>2298</v>
      </c>
      <c r="F1098" s="19">
        <v>332</v>
      </c>
      <c r="G1098" s="19">
        <v>522</v>
      </c>
      <c r="H1098" s="19">
        <v>431</v>
      </c>
      <c r="I1098" s="10">
        <v>700</v>
      </c>
      <c r="J1098" s="9">
        <v>570</v>
      </c>
      <c r="K1098" s="10">
        <v>720</v>
      </c>
      <c r="L1098" s="9">
        <v>720</v>
      </c>
      <c r="M1098" s="9">
        <v>620</v>
      </c>
      <c r="N1098" s="9">
        <v>660</v>
      </c>
      <c r="O1098" s="9">
        <v>660</v>
      </c>
      <c r="P1098" s="9">
        <v>660</v>
      </c>
      <c r="Q1098" s="9">
        <v>759</v>
      </c>
    </row>
    <row r="1099" spans="1:17" ht="12.75">
      <c r="A1099" s="3" t="s">
        <v>919</v>
      </c>
      <c r="B1099" s="11" t="s">
        <v>920</v>
      </c>
      <c r="C1099" s="36">
        <v>517900</v>
      </c>
      <c r="E1099" s="3" t="s">
        <v>2219</v>
      </c>
      <c r="F1099" s="19">
        <v>24</v>
      </c>
      <c r="G1099" s="19">
        <v>24</v>
      </c>
      <c r="H1099" s="19">
        <v>24</v>
      </c>
      <c r="I1099" s="10">
        <v>0</v>
      </c>
      <c r="J1099" s="9">
        <v>24</v>
      </c>
      <c r="K1099" s="10">
        <v>24</v>
      </c>
      <c r="L1099" s="9">
        <v>24</v>
      </c>
      <c r="M1099" s="9">
        <v>24</v>
      </c>
      <c r="N1099" s="9">
        <v>24</v>
      </c>
      <c r="O1099" s="9">
        <v>24</v>
      </c>
      <c r="P1099" s="9">
        <v>24</v>
      </c>
      <c r="Q1099" s="9">
        <v>0</v>
      </c>
    </row>
    <row r="1100" spans="5:18" ht="12.75">
      <c r="E1100" s="20" t="s">
        <v>2187</v>
      </c>
      <c r="F1100" s="21">
        <f aca="true" t="shared" si="247" ref="F1100:L1100">SUM(F1093:F1099)</f>
        <v>49182</v>
      </c>
      <c r="G1100" s="21">
        <f t="shared" si="247"/>
        <v>56254.1</v>
      </c>
      <c r="H1100" s="21">
        <f t="shared" si="247"/>
        <v>53987.05</v>
      </c>
      <c r="I1100" s="22">
        <f t="shared" si="247"/>
        <v>64367.61</v>
      </c>
      <c r="J1100" s="23">
        <f t="shared" si="247"/>
        <v>63986.03</v>
      </c>
      <c r="K1100" s="23">
        <f t="shared" si="247"/>
        <v>68589.88</v>
      </c>
      <c r="L1100" s="7">
        <f t="shared" si="247"/>
        <v>61530.03</v>
      </c>
      <c r="M1100" s="7">
        <f aca="true" t="shared" si="248" ref="M1100:R1100">SUM(M1093:M1099)</f>
        <v>65544.14</v>
      </c>
      <c r="N1100" s="7">
        <f t="shared" si="248"/>
        <v>57829.35</v>
      </c>
      <c r="O1100" s="7">
        <f t="shared" si="248"/>
        <v>37847</v>
      </c>
      <c r="P1100" s="7">
        <f t="shared" si="248"/>
        <v>34237</v>
      </c>
      <c r="Q1100" s="7">
        <f t="shared" si="248"/>
        <v>65142</v>
      </c>
      <c r="R1100" s="7">
        <f t="shared" si="248"/>
        <v>0</v>
      </c>
    </row>
    <row r="1101" spans="3:9" ht="12.75">
      <c r="C1101" s="196">
        <v>16512</v>
      </c>
      <c r="D1101" s="196"/>
      <c r="I1101" s="10"/>
    </row>
    <row r="1102" spans="2:17" ht="12.75">
      <c r="B1102" s="36">
        <v>6312</v>
      </c>
      <c r="C1102" s="36">
        <v>523100</v>
      </c>
      <c r="E1102" s="3" t="s">
        <v>2963</v>
      </c>
      <c r="I1102" s="10"/>
      <c r="J1102" s="10"/>
      <c r="K1102" s="10"/>
      <c r="M1102" s="9">
        <v>1781.69</v>
      </c>
      <c r="N1102" s="9">
        <v>2532.46</v>
      </c>
      <c r="O1102" s="9">
        <v>2310</v>
      </c>
      <c r="P1102" s="9">
        <v>2310</v>
      </c>
      <c r="Q1102" s="9">
        <v>2541</v>
      </c>
    </row>
    <row r="1103" spans="1:17" ht="12.75">
      <c r="A1103" s="3" t="s">
        <v>927</v>
      </c>
      <c r="B1103" s="36">
        <v>6311</v>
      </c>
      <c r="C1103" s="36">
        <v>553100</v>
      </c>
      <c r="E1103" s="3" t="s">
        <v>857</v>
      </c>
      <c r="F1103" s="19">
        <v>9171</v>
      </c>
      <c r="G1103" s="19">
        <v>7155.78</v>
      </c>
      <c r="H1103" s="19">
        <v>6575.93</v>
      </c>
      <c r="I1103" s="10">
        <v>7932.16</v>
      </c>
      <c r="J1103" s="10">
        <v>10852.41</v>
      </c>
      <c r="K1103" s="10">
        <v>8025.59</v>
      </c>
      <c r="L1103" s="9">
        <v>7972.44</v>
      </c>
      <c r="M1103" s="9">
        <v>3235.99</v>
      </c>
      <c r="N1103" s="9">
        <v>9217.64</v>
      </c>
      <c r="O1103" s="9">
        <v>6200</v>
      </c>
      <c r="P1103" s="9">
        <v>6200</v>
      </c>
      <c r="Q1103" s="9">
        <v>6510</v>
      </c>
    </row>
    <row r="1104" spans="5:18" ht="12.75">
      <c r="E1104" s="20" t="s">
        <v>2274</v>
      </c>
      <c r="F1104" s="25">
        <f aca="true" t="shared" si="249" ref="F1104:K1104">SUM(F1102)</f>
        <v>0</v>
      </c>
      <c r="G1104" s="25">
        <f t="shared" si="249"/>
        <v>0</v>
      </c>
      <c r="H1104" s="25">
        <f t="shared" si="249"/>
        <v>0</v>
      </c>
      <c r="I1104" s="23">
        <f t="shared" si="249"/>
        <v>0</v>
      </c>
      <c r="J1104" s="23">
        <f t="shared" si="249"/>
        <v>0</v>
      </c>
      <c r="K1104" s="23">
        <f t="shared" si="249"/>
        <v>0</v>
      </c>
      <c r="L1104" s="7">
        <f>SUM(L1102)</f>
        <v>0</v>
      </c>
      <c r="M1104" s="7">
        <f aca="true" t="shared" si="250" ref="M1104:R1104">SUM(M1102:M1103)</f>
        <v>5017.68</v>
      </c>
      <c r="N1104" s="7">
        <f t="shared" si="250"/>
        <v>11750.099999999999</v>
      </c>
      <c r="O1104" s="7">
        <f t="shared" si="250"/>
        <v>8510</v>
      </c>
      <c r="P1104" s="7">
        <f t="shared" si="250"/>
        <v>8510</v>
      </c>
      <c r="Q1104" s="7">
        <f t="shared" si="250"/>
        <v>9051</v>
      </c>
      <c r="R1104" s="7">
        <f t="shared" si="250"/>
        <v>0</v>
      </c>
    </row>
    <row r="1105" spans="5:9" ht="6" customHeight="1">
      <c r="E1105" s="20"/>
      <c r="F1105" s="25"/>
      <c r="G1105" s="25"/>
      <c r="H1105" s="25"/>
      <c r="I1105" s="23"/>
    </row>
    <row r="1106" spans="2:18" ht="12.75" hidden="1">
      <c r="B1106" s="11" t="s">
        <v>928</v>
      </c>
      <c r="E1106" s="3" t="s">
        <v>929</v>
      </c>
      <c r="F1106" s="19">
        <v>0</v>
      </c>
      <c r="G1106" s="19">
        <v>6810.4</v>
      </c>
      <c r="H1106" s="19">
        <v>3890</v>
      </c>
      <c r="I1106" s="10">
        <v>9996.55</v>
      </c>
      <c r="J1106" s="10">
        <v>3500</v>
      </c>
      <c r="K1106" s="10">
        <v>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</row>
    <row r="1107" spans="2:19" s="38" customFormat="1" ht="12.75" hidden="1">
      <c r="B1107" s="15"/>
      <c r="C1107" s="39"/>
      <c r="D1107" s="39"/>
      <c r="E1107" s="3" t="s">
        <v>930</v>
      </c>
      <c r="F1107" s="19">
        <v>0</v>
      </c>
      <c r="G1107" s="19">
        <v>0</v>
      </c>
      <c r="H1107" s="19">
        <v>0</v>
      </c>
      <c r="I1107" s="10"/>
      <c r="J1107" s="9">
        <v>0</v>
      </c>
      <c r="K1107" s="10">
        <v>0</v>
      </c>
      <c r="L1107" s="9">
        <v>0</v>
      </c>
      <c r="M1107" s="9">
        <v>0</v>
      </c>
      <c r="N1107" s="9">
        <v>0</v>
      </c>
      <c r="O1107" s="9">
        <v>0</v>
      </c>
      <c r="P1107" s="9">
        <v>0</v>
      </c>
      <c r="Q1107" s="9">
        <v>0</v>
      </c>
      <c r="R1107" s="9">
        <v>0</v>
      </c>
      <c r="S1107" s="57"/>
    </row>
    <row r="1108" spans="5:18" ht="12.75" hidden="1">
      <c r="E1108" s="20" t="s">
        <v>2277</v>
      </c>
      <c r="F1108" s="25">
        <f>SUM(F1106)</f>
        <v>0</v>
      </c>
      <c r="G1108" s="25">
        <f>SUM(G1106)</f>
        <v>6810.4</v>
      </c>
      <c r="H1108" s="25">
        <f>SUM(H1106)</f>
        <v>3890</v>
      </c>
      <c r="I1108" s="23">
        <f aca="true" t="shared" si="251" ref="I1108:N1108">SUM(I1106:I1107)</f>
        <v>9996.55</v>
      </c>
      <c r="J1108" s="23">
        <f t="shared" si="251"/>
        <v>3500</v>
      </c>
      <c r="K1108" s="23">
        <f t="shared" si="251"/>
        <v>0</v>
      </c>
      <c r="L1108" s="7">
        <f t="shared" si="251"/>
        <v>0</v>
      </c>
      <c r="M1108" s="7">
        <f t="shared" si="251"/>
        <v>0</v>
      </c>
      <c r="N1108" s="7">
        <f t="shared" si="251"/>
        <v>0</v>
      </c>
      <c r="O1108" s="7">
        <f>SUM(O1106:O1107)</f>
        <v>0</v>
      </c>
      <c r="P1108" s="7">
        <f>SUM(P1106:P1107)</f>
        <v>0</v>
      </c>
      <c r="Q1108" s="7">
        <f>SUM(Q1106:Q1107)</f>
        <v>0</v>
      </c>
      <c r="R1108" s="7">
        <f>SUM(R1106:R1107)</f>
        <v>0</v>
      </c>
    </row>
    <row r="1109" ht="12.75">
      <c r="I1109" s="10"/>
    </row>
    <row r="1110" spans="1:18" ht="12.75">
      <c r="A1110" s="38"/>
      <c r="B1110" s="15"/>
      <c r="C1110" s="39"/>
      <c r="D1110" s="39"/>
      <c r="E1110" s="2" t="s">
        <v>931</v>
      </c>
      <c r="F1110" s="31">
        <f aca="true" t="shared" si="252" ref="F1110:L1110">SUM(F1093:F1108)/2</f>
        <v>53767.5</v>
      </c>
      <c r="G1110" s="31">
        <f t="shared" si="252"/>
        <v>66642.39</v>
      </c>
      <c r="H1110" s="31">
        <f t="shared" si="252"/>
        <v>61165.015</v>
      </c>
      <c r="I1110" s="28">
        <f t="shared" si="252"/>
        <v>78330.23999999999</v>
      </c>
      <c r="J1110" s="28">
        <f t="shared" si="252"/>
        <v>72912.235</v>
      </c>
      <c r="K1110" s="28">
        <f t="shared" si="252"/>
        <v>72602.675</v>
      </c>
      <c r="L1110" s="32">
        <f t="shared" si="252"/>
        <v>65516.25</v>
      </c>
      <c r="M1110" s="32">
        <f>SUM(M1093:M1108)/2</f>
        <v>70561.81999999999</v>
      </c>
      <c r="N1110" s="32">
        <f>SUM(N1108+N1104+N1100)</f>
        <v>69579.45</v>
      </c>
      <c r="O1110" s="32">
        <f>SUM(O1108+O1104+O1100)</f>
        <v>46357</v>
      </c>
      <c r="P1110" s="32">
        <f>SUM(P1108+P1104+P1100)</f>
        <v>42747</v>
      </c>
      <c r="Q1110" s="32">
        <f>SUM(Q1108+Q1104+Q1100)</f>
        <v>74193</v>
      </c>
      <c r="R1110" s="32">
        <f>SUM(R1108+R1104+R1100)</f>
        <v>0</v>
      </c>
    </row>
    <row r="1111" spans="1:10" ht="12.75">
      <c r="A1111" s="38"/>
      <c r="B1111" s="15"/>
      <c r="C1111" s="39"/>
      <c r="D1111" s="39"/>
      <c r="E1111" s="38"/>
      <c r="I1111" s="10"/>
      <c r="J1111" s="10"/>
    </row>
    <row r="1112" spans="1:9" ht="12.75">
      <c r="A1112" s="3" t="s">
        <v>2180</v>
      </c>
      <c r="C1112" s="196">
        <v>14331</v>
      </c>
      <c r="D1112" s="196"/>
      <c r="E1112" s="150" t="s">
        <v>2790</v>
      </c>
      <c r="I1112" s="10"/>
    </row>
    <row r="1113" spans="1:17" ht="12.75">
      <c r="A1113" s="3" t="s">
        <v>932</v>
      </c>
      <c r="B1113" s="11" t="s">
        <v>933</v>
      </c>
      <c r="C1113" s="36">
        <v>511000</v>
      </c>
      <c r="E1113" s="3" t="s">
        <v>2363</v>
      </c>
      <c r="F1113" s="19">
        <v>45240</v>
      </c>
      <c r="G1113" s="19">
        <v>55142.16</v>
      </c>
      <c r="H1113" s="19">
        <v>59370.57</v>
      </c>
      <c r="I1113" s="10">
        <v>65112.33</v>
      </c>
      <c r="J1113" s="9">
        <v>66161.08</v>
      </c>
      <c r="K1113" s="10">
        <v>70991.35</v>
      </c>
      <c r="L1113" s="9">
        <v>53120.55</v>
      </c>
      <c r="M1113" s="9">
        <v>54530.3</v>
      </c>
      <c r="N1113" s="9">
        <v>64488.95</v>
      </c>
      <c r="O1113" s="9">
        <v>70952</v>
      </c>
      <c r="P1113" s="9">
        <v>61897</v>
      </c>
      <c r="Q1113" s="9">
        <v>70671</v>
      </c>
    </row>
    <row r="1114" spans="1:17" ht="12.75">
      <c r="A1114" s="3" t="s">
        <v>934</v>
      </c>
      <c r="B1114" s="11" t="s">
        <v>935</v>
      </c>
      <c r="C1114" s="36">
        <v>513001</v>
      </c>
      <c r="E1114" s="3" t="s">
        <v>936</v>
      </c>
      <c r="F1114" s="19">
        <v>1257</v>
      </c>
      <c r="G1114" s="19">
        <v>1286.2</v>
      </c>
      <c r="H1114" s="19">
        <v>1331.15</v>
      </c>
      <c r="I1114" s="10">
        <v>3426.36</v>
      </c>
      <c r="J1114" s="9">
        <v>1507.77</v>
      </c>
      <c r="K1114" s="10">
        <v>1562.88</v>
      </c>
      <c r="L1114" s="9">
        <v>1680.97</v>
      </c>
      <c r="M1114" s="9">
        <v>1744.9</v>
      </c>
      <c r="N1114" s="9">
        <v>1345.57</v>
      </c>
      <c r="O1114" s="9">
        <v>2110</v>
      </c>
      <c r="P1114" s="9">
        <v>2110</v>
      </c>
      <c r="Q1114" s="9">
        <v>2110</v>
      </c>
    </row>
    <row r="1115" spans="1:17" ht="12.75">
      <c r="A1115" s="3" t="s">
        <v>937</v>
      </c>
      <c r="B1115" s="11" t="s">
        <v>938</v>
      </c>
      <c r="C1115" s="36">
        <v>514800</v>
      </c>
      <c r="E1115" s="3" t="s">
        <v>2288</v>
      </c>
      <c r="F1115" s="19">
        <v>450</v>
      </c>
      <c r="G1115" s="19">
        <v>425</v>
      </c>
      <c r="H1115" s="19">
        <v>637.5</v>
      </c>
      <c r="I1115" s="10">
        <v>850</v>
      </c>
      <c r="J1115" s="9">
        <v>850</v>
      </c>
      <c r="K1115" s="10">
        <v>850</v>
      </c>
      <c r="L1115" s="9">
        <v>850</v>
      </c>
      <c r="M1115" s="9">
        <v>425</v>
      </c>
      <c r="N1115" s="9">
        <v>425</v>
      </c>
      <c r="O1115" s="9">
        <v>425</v>
      </c>
      <c r="P1115" s="9">
        <v>425</v>
      </c>
      <c r="Q1115" s="9">
        <v>425</v>
      </c>
    </row>
    <row r="1116" spans="1:17" ht="12.75">
      <c r="A1116" s="3" t="s">
        <v>943</v>
      </c>
      <c r="B1116" s="11" t="s">
        <v>944</v>
      </c>
      <c r="C1116" s="36">
        <v>517000</v>
      </c>
      <c r="E1116" s="3" t="s">
        <v>2222</v>
      </c>
      <c r="F1116" s="19">
        <v>8819</v>
      </c>
      <c r="G1116" s="19">
        <v>8378</v>
      </c>
      <c r="H1116" s="19">
        <v>15917</v>
      </c>
      <c r="I1116" s="10">
        <v>17633</v>
      </c>
      <c r="J1116" s="9">
        <v>21452</v>
      </c>
      <c r="K1116" s="10">
        <v>26014</v>
      </c>
      <c r="L1116" s="9">
        <v>22402</v>
      </c>
      <c r="M1116" s="9">
        <v>21979.18</v>
      </c>
      <c r="N1116" s="9">
        <v>25979</v>
      </c>
      <c r="O1116" s="9">
        <v>34687</v>
      </c>
      <c r="P1116" s="9">
        <v>34687</v>
      </c>
      <c r="Q1116" s="9">
        <v>31266</v>
      </c>
    </row>
    <row r="1117" spans="1:17" ht="12.75">
      <c r="A1117" s="3" t="s">
        <v>939</v>
      </c>
      <c r="B1117" s="11" t="s">
        <v>940</v>
      </c>
      <c r="C1117" s="36">
        <v>517200</v>
      </c>
      <c r="E1117" s="3" t="s">
        <v>2216</v>
      </c>
      <c r="F1117" s="19">
        <v>6768</v>
      </c>
      <c r="G1117" s="19">
        <v>5076</v>
      </c>
      <c r="H1117" s="19">
        <v>5076</v>
      </c>
      <c r="I1117" s="10">
        <v>5076</v>
      </c>
      <c r="J1117" s="9">
        <v>5076</v>
      </c>
      <c r="K1117" s="10">
        <v>5076</v>
      </c>
      <c r="L1117" s="9">
        <v>5076</v>
      </c>
      <c r="M1117" s="9">
        <v>2747</v>
      </c>
      <c r="N1117" s="9">
        <v>2446</v>
      </c>
      <c r="O1117" s="9">
        <v>2890</v>
      </c>
      <c r="P1117" s="9">
        <v>2890</v>
      </c>
      <c r="Q1117" s="9">
        <v>3035</v>
      </c>
    </row>
    <row r="1118" spans="1:17" ht="12.75">
      <c r="A1118" s="3" t="s">
        <v>945</v>
      </c>
      <c r="B1118" s="11" t="s">
        <v>946</v>
      </c>
      <c r="C1118" s="36">
        <v>517800</v>
      </c>
      <c r="E1118" s="3" t="s">
        <v>2298</v>
      </c>
      <c r="F1118" s="19">
        <v>0</v>
      </c>
      <c r="G1118" s="19">
        <v>348</v>
      </c>
      <c r="H1118" s="19">
        <v>329</v>
      </c>
      <c r="I1118" s="10">
        <v>0</v>
      </c>
      <c r="J1118" s="9">
        <v>0</v>
      </c>
      <c r="K1118" s="10">
        <v>0</v>
      </c>
      <c r="L1118" s="9">
        <v>0</v>
      </c>
      <c r="M1118" s="9">
        <v>625</v>
      </c>
      <c r="N1118" s="9">
        <v>660</v>
      </c>
      <c r="O1118" s="9">
        <v>660</v>
      </c>
      <c r="P1118" s="9">
        <v>660</v>
      </c>
      <c r="Q1118" s="9">
        <v>759</v>
      </c>
    </row>
    <row r="1119" spans="1:17" ht="12.75">
      <c r="A1119" s="3" t="s">
        <v>941</v>
      </c>
      <c r="B1119" s="11" t="s">
        <v>942</v>
      </c>
      <c r="C1119" s="36">
        <v>517900</v>
      </c>
      <c r="E1119" s="3" t="s">
        <v>2219</v>
      </c>
      <c r="F1119" s="19">
        <v>72</v>
      </c>
      <c r="G1119" s="19">
        <v>72</v>
      </c>
      <c r="H1119" s="19">
        <v>72</v>
      </c>
      <c r="I1119" s="10">
        <v>72</v>
      </c>
      <c r="J1119" s="9">
        <v>72</v>
      </c>
      <c r="K1119" s="10">
        <v>72</v>
      </c>
      <c r="L1119" s="9">
        <v>72</v>
      </c>
      <c r="M1119" s="9">
        <v>72</v>
      </c>
      <c r="N1119" s="9">
        <v>72</v>
      </c>
      <c r="O1119" s="9">
        <v>72</v>
      </c>
      <c r="P1119" s="9">
        <v>72</v>
      </c>
      <c r="Q1119" s="9">
        <v>0</v>
      </c>
    </row>
    <row r="1120" spans="5:18" ht="12.75">
      <c r="E1120" s="20" t="s">
        <v>2187</v>
      </c>
      <c r="F1120" s="21">
        <f aca="true" t="shared" si="253" ref="F1120:L1120">SUM(F1113:F1119)</f>
        <v>62606</v>
      </c>
      <c r="G1120" s="21">
        <f t="shared" si="253"/>
        <v>70727.36</v>
      </c>
      <c r="H1120" s="21">
        <f t="shared" si="253"/>
        <v>82733.22</v>
      </c>
      <c r="I1120" s="22">
        <f t="shared" si="253"/>
        <v>92169.69</v>
      </c>
      <c r="J1120" s="23">
        <f t="shared" si="253"/>
        <v>95118.85</v>
      </c>
      <c r="K1120" s="23">
        <f t="shared" si="253"/>
        <v>104566.23000000001</v>
      </c>
      <c r="L1120" s="7">
        <f t="shared" si="253"/>
        <v>83201.52</v>
      </c>
      <c r="M1120" s="7">
        <f aca="true" t="shared" si="254" ref="M1120:R1120">SUM(M1113:M1119)</f>
        <v>82123.38</v>
      </c>
      <c r="N1120" s="7">
        <f t="shared" si="254"/>
        <v>95416.52</v>
      </c>
      <c r="O1120" s="7">
        <f t="shared" si="254"/>
        <v>111796</v>
      </c>
      <c r="P1120" s="7">
        <f t="shared" si="254"/>
        <v>102741</v>
      </c>
      <c r="Q1120" s="7">
        <f t="shared" si="254"/>
        <v>108266</v>
      </c>
      <c r="R1120" s="7">
        <f t="shared" si="254"/>
        <v>0</v>
      </c>
    </row>
    <row r="1121" spans="3:9" ht="12.75">
      <c r="C1121" s="196">
        <v>14332</v>
      </c>
      <c r="D1121" s="196"/>
      <c r="I1121" s="10"/>
    </row>
    <row r="1122" spans="1:17" ht="12.75">
      <c r="A1122" s="3" t="s">
        <v>959</v>
      </c>
      <c r="B1122" s="11" t="s">
        <v>960</v>
      </c>
      <c r="C1122" s="36">
        <v>529000</v>
      </c>
      <c r="E1122" s="3" t="s">
        <v>961</v>
      </c>
      <c r="F1122" s="19">
        <v>19685</v>
      </c>
      <c r="G1122" s="19">
        <v>0</v>
      </c>
      <c r="H1122" s="19">
        <v>0</v>
      </c>
      <c r="I1122" s="10">
        <v>53061.52</v>
      </c>
      <c r="J1122" s="9">
        <f>6524.48+51011</f>
        <v>57535.479999999996</v>
      </c>
      <c r="K1122" s="10">
        <v>10730</v>
      </c>
      <c r="L1122" s="9">
        <v>21235</v>
      </c>
      <c r="M1122" s="9">
        <v>12765</v>
      </c>
      <c r="N1122" s="9">
        <v>24960</v>
      </c>
      <c r="O1122" s="9">
        <v>15000</v>
      </c>
      <c r="P1122" s="9">
        <v>15000</v>
      </c>
      <c r="Q1122" s="9">
        <v>15750</v>
      </c>
    </row>
    <row r="1123" spans="1:17" ht="12.75">
      <c r="A1123" s="3" t="s">
        <v>947</v>
      </c>
      <c r="B1123" s="11" t="s">
        <v>948</v>
      </c>
      <c r="C1123" s="36">
        <v>529100</v>
      </c>
      <c r="E1123" s="3" t="s">
        <v>949</v>
      </c>
      <c r="F1123" s="19">
        <v>519503</v>
      </c>
      <c r="G1123" s="19">
        <v>522092.19</v>
      </c>
      <c r="H1123" s="19">
        <v>545763.45</v>
      </c>
      <c r="I1123" s="10">
        <v>577739.25</v>
      </c>
      <c r="J1123" s="10">
        <v>836742.24</v>
      </c>
      <c r="K1123" s="10">
        <v>842700</v>
      </c>
      <c r="L1123" s="9">
        <v>867960</v>
      </c>
      <c r="M1123" s="9">
        <v>899040</v>
      </c>
      <c r="N1123" s="9">
        <v>904110</v>
      </c>
      <c r="O1123" s="9">
        <v>925980</v>
      </c>
      <c r="P1123" s="9">
        <v>925980</v>
      </c>
      <c r="Q1123" s="9">
        <v>953760</v>
      </c>
    </row>
    <row r="1124" spans="1:17" ht="12.75">
      <c r="A1124" s="3" t="s">
        <v>950</v>
      </c>
      <c r="B1124" s="11" t="s">
        <v>951</v>
      </c>
      <c r="C1124" s="36">
        <v>529400</v>
      </c>
      <c r="E1124" s="3" t="s">
        <v>952</v>
      </c>
      <c r="F1124" s="19">
        <v>139914</v>
      </c>
      <c r="G1124" s="19">
        <v>215833.26</v>
      </c>
      <c r="H1124" s="19">
        <v>234438.53</v>
      </c>
      <c r="I1124" s="10">
        <v>249816.1</v>
      </c>
      <c r="J1124" s="9">
        <v>316388.17</v>
      </c>
      <c r="K1124" s="10">
        <v>304380</v>
      </c>
      <c r="L1124" s="9">
        <v>313500</v>
      </c>
      <c r="M1124" s="9">
        <v>318920</v>
      </c>
      <c r="N1124" s="9">
        <v>332580</v>
      </c>
      <c r="O1124" s="9">
        <v>332580</v>
      </c>
      <c r="P1124" s="9">
        <v>332580</v>
      </c>
      <c r="Q1124" s="9">
        <v>342558</v>
      </c>
    </row>
    <row r="1125" spans="1:17" ht="12.75">
      <c r="A1125" s="3" t="s">
        <v>953</v>
      </c>
      <c r="B1125" s="11" t="s">
        <v>954</v>
      </c>
      <c r="C1125" s="36">
        <v>529500</v>
      </c>
      <c r="E1125" s="3" t="s">
        <v>955</v>
      </c>
      <c r="F1125" s="19">
        <v>1471151</v>
      </c>
      <c r="G1125" s="19">
        <v>1532169.07</v>
      </c>
      <c r="H1125" s="19">
        <v>1613736.92</v>
      </c>
      <c r="I1125" s="10">
        <v>1597376.58</v>
      </c>
      <c r="J1125" s="9">
        <v>1234972.89</v>
      </c>
      <c r="K1125" s="10">
        <v>1127281.64</v>
      </c>
      <c r="L1125" s="9">
        <v>1041848.05</v>
      </c>
      <c r="M1125" s="9">
        <v>1218254.94</v>
      </c>
      <c r="N1125" s="9">
        <v>484123.52</v>
      </c>
      <c r="O1125" s="9">
        <v>714000</v>
      </c>
      <c r="P1125" s="9">
        <v>714000</v>
      </c>
      <c r="Q1125" s="9">
        <v>729750</v>
      </c>
    </row>
    <row r="1126" spans="1:17" ht="12.75">
      <c r="A1126" s="3" t="s">
        <v>956</v>
      </c>
      <c r="B1126" s="11" t="s">
        <v>957</v>
      </c>
      <c r="C1126" s="36">
        <v>529600</v>
      </c>
      <c r="E1126" s="3" t="s">
        <v>958</v>
      </c>
      <c r="F1126" s="19">
        <v>109168</v>
      </c>
      <c r="G1126" s="19">
        <v>116083.3</v>
      </c>
      <c r="H1126" s="19">
        <v>118459.23</v>
      </c>
      <c r="I1126" s="10">
        <v>145222.55</v>
      </c>
      <c r="J1126" s="9">
        <v>262820.67</v>
      </c>
      <c r="K1126" s="10">
        <v>259140</v>
      </c>
      <c r="L1126" s="9">
        <v>266940</v>
      </c>
      <c r="M1126" s="9">
        <v>278920</v>
      </c>
      <c r="N1126" s="9">
        <v>283200</v>
      </c>
      <c r="O1126" s="9">
        <v>283200</v>
      </c>
      <c r="P1126" s="9">
        <v>283200</v>
      </c>
      <c r="Q1126" s="9">
        <v>291696</v>
      </c>
    </row>
    <row r="1127" spans="1:17" ht="12.75">
      <c r="A1127" s="3" t="s">
        <v>962</v>
      </c>
      <c r="B1127" s="11" t="s">
        <v>963</v>
      </c>
      <c r="C1127" s="36">
        <v>553100</v>
      </c>
      <c r="E1127" s="3" t="s">
        <v>787</v>
      </c>
      <c r="F1127" s="19">
        <v>5882</v>
      </c>
      <c r="G1127" s="19">
        <v>5183.78</v>
      </c>
      <c r="H1127" s="19">
        <v>3225.6</v>
      </c>
      <c r="I1127" s="10">
        <v>5099.35</v>
      </c>
      <c r="J1127" s="10">
        <v>4344.36</v>
      </c>
      <c r="K1127" s="10">
        <v>21081.52</v>
      </c>
      <c r="L1127" s="9">
        <v>16536.16</v>
      </c>
      <c r="M1127" s="9">
        <v>17630</v>
      </c>
      <c r="N1127" s="9">
        <v>16060.35</v>
      </c>
      <c r="O1127" s="9">
        <v>17730</v>
      </c>
      <c r="P1127" s="9">
        <v>17730</v>
      </c>
      <c r="Q1127" s="9">
        <v>18617</v>
      </c>
    </row>
    <row r="1128" spans="2:11" ht="12.75" hidden="1">
      <c r="B1128" s="50">
        <v>6385.1</v>
      </c>
      <c r="C1128" s="49"/>
      <c r="D1128" s="49"/>
      <c r="E1128" s="3" t="s">
        <v>961</v>
      </c>
      <c r="I1128" s="10"/>
      <c r="J1128" s="9">
        <v>0</v>
      </c>
      <c r="K1128" s="10"/>
    </row>
    <row r="1129" spans="5:14" ht="12.75">
      <c r="E1129" s="3" t="s">
        <v>964</v>
      </c>
      <c r="F1129" s="19">
        <v>0</v>
      </c>
      <c r="H1129" s="19">
        <v>0</v>
      </c>
      <c r="I1129" s="10"/>
      <c r="J1129" s="9">
        <v>0</v>
      </c>
      <c r="K1129" s="10">
        <v>2482.45</v>
      </c>
      <c r="L1129" s="9">
        <v>0</v>
      </c>
      <c r="M1129" s="9">
        <v>0</v>
      </c>
      <c r="N1129" s="9">
        <v>2998.89</v>
      </c>
    </row>
    <row r="1130" spans="5:18" ht="12.75">
      <c r="E1130" s="20" t="s">
        <v>2274</v>
      </c>
      <c r="F1130" s="25">
        <f>SUM(F1128)</f>
        <v>0</v>
      </c>
      <c r="G1130" s="25">
        <f>SUM(G1128)</f>
        <v>0</v>
      </c>
      <c r="H1130" s="25">
        <f>SUM(H1128)</f>
        <v>0</v>
      </c>
      <c r="I1130" s="23">
        <f>SUM(I1128:I1129)</f>
        <v>0</v>
      </c>
      <c r="J1130" s="23">
        <f>SUM(J1128:J1129)</f>
        <v>0</v>
      </c>
      <c r="K1130" s="23">
        <f>SUM(K1128:K1129)</f>
        <v>2482.45</v>
      </c>
      <c r="L1130" s="7">
        <f>SUM(L1122:L1129)</f>
        <v>2528019.21</v>
      </c>
      <c r="M1130" s="7">
        <f aca="true" t="shared" si="255" ref="M1130:R1130">SUM(M1122:M1129)</f>
        <v>2745529.94</v>
      </c>
      <c r="N1130" s="7">
        <f t="shared" si="255"/>
        <v>2048032.76</v>
      </c>
      <c r="O1130" s="7">
        <f t="shared" si="255"/>
        <v>2288490</v>
      </c>
      <c r="P1130" s="7">
        <f t="shared" si="255"/>
        <v>2288490</v>
      </c>
      <c r="Q1130" s="7">
        <f t="shared" si="255"/>
        <v>2352131</v>
      </c>
      <c r="R1130" s="7">
        <f t="shared" si="255"/>
        <v>0</v>
      </c>
    </row>
    <row r="1131" ht="12.75">
      <c r="I1131" s="10"/>
    </row>
    <row r="1132" spans="5:18" ht="12.75">
      <c r="E1132" s="2" t="s">
        <v>965</v>
      </c>
      <c r="F1132" s="31">
        <f aca="true" t="shared" si="256" ref="F1132:K1132">SUM(F1113:F1130)/2</f>
        <v>1195257.5</v>
      </c>
      <c r="G1132" s="31">
        <f t="shared" si="256"/>
        <v>1266408.16</v>
      </c>
      <c r="H1132" s="31">
        <f t="shared" si="256"/>
        <v>1340545.085</v>
      </c>
      <c r="I1132" s="28">
        <f t="shared" si="256"/>
        <v>1406327.365</v>
      </c>
      <c r="J1132" s="28">
        <f t="shared" si="256"/>
        <v>1451520.7549999997</v>
      </c>
      <c r="K1132" s="28">
        <f t="shared" si="256"/>
        <v>1389705.26</v>
      </c>
      <c r="L1132" s="32">
        <f>SUM(L1113:L1130)/2</f>
        <v>2611220.73</v>
      </c>
      <c r="M1132" s="32">
        <f aca="true" t="shared" si="257" ref="M1132:R1132">SUM(M1113:M1130)/2</f>
        <v>2827653.3200000003</v>
      </c>
      <c r="N1132" s="32">
        <f t="shared" si="257"/>
        <v>2143449.2800000003</v>
      </c>
      <c r="O1132" s="32">
        <f t="shared" si="257"/>
        <v>2400286</v>
      </c>
      <c r="P1132" s="32">
        <f t="shared" si="257"/>
        <v>2391231</v>
      </c>
      <c r="Q1132" s="32">
        <f t="shared" si="257"/>
        <v>2460397</v>
      </c>
      <c r="R1132" s="32">
        <f t="shared" si="257"/>
        <v>0</v>
      </c>
    </row>
    <row r="1133" spans="5:18" ht="12.75">
      <c r="E1133" s="2"/>
      <c r="F1133" s="31"/>
      <c r="G1133" s="31"/>
      <c r="H1133" s="31"/>
      <c r="I1133" s="28"/>
      <c r="J1133" s="28"/>
      <c r="K1133" s="28"/>
      <c r="L1133" s="32"/>
      <c r="M1133" s="32"/>
      <c r="N1133" s="32"/>
      <c r="O1133" s="32"/>
      <c r="P1133" s="32"/>
      <c r="Q1133" s="32"/>
      <c r="R1133" s="32"/>
    </row>
    <row r="1134" spans="9:10" ht="12.75">
      <c r="I1134" s="10"/>
      <c r="J1134" s="10"/>
    </row>
    <row r="1135" spans="1:9" ht="12.75">
      <c r="A1135" s="3" t="s">
        <v>2180</v>
      </c>
      <c r="C1135" s="196">
        <v>14242</v>
      </c>
      <c r="D1135" s="196"/>
      <c r="E1135" s="163" t="s">
        <v>966</v>
      </c>
      <c r="I1135" s="10"/>
    </row>
    <row r="1136" spans="1:17" ht="12.75">
      <c r="A1136" s="3" t="s">
        <v>967</v>
      </c>
      <c r="B1136" s="11" t="s">
        <v>968</v>
      </c>
      <c r="C1136" s="36">
        <v>522500</v>
      </c>
      <c r="E1136" s="3" t="s">
        <v>966</v>
      </c>
      <c r="F1136" s="19">
        <v>185817</v>
      </c>
      <c r="G1136" s="19">
        <v>180125.27</v>
      </c>
      <c r="H1136" s="19">
        <v>177852.49</v>
      </c>
      <c r="I1136" s="10">
        <v>174804.25</v>
      </c>
      <c r="J1136" s="9">
        <v>180720.42</v>
      </c>
      <c r="K1136" s="10">
        <v>181297.11</v>
      </c>
      <c r="L1136" s="9">
        <v>190316.41</v>
      </c>
      <c r="M1136" s="9">
        <v>186374.91</v>
      </c>
      <c r="N1136" s="9">
        <v>199836.4</v>
      </c>
      <c r="O1136" s="9">
        <v>190000</v>
      </c>
      <c r="P1136" s="9">
        <v>228000</v>
      </c>
      <c r="Q1136" s="9">
        <v>237500</v>
      </c>
    </row>
    <row r="1137" spans="5:18" ht="12.75">
      <c r="E1137" s="20" t="s">
        <v>2199</v>
      </c>
      <c r="F1137" s="5">
        <f aca="true" t="shared" si="258" ref="F1137:L1137">SUM(F1136:F1136)</f>
        <v>185817</v>
      </c>
      <c r="G1137" s="5">
        <f t="shared" si="258"/>
        <v>180125.27</v>
      </c>
      <c r="H1137" s="5">
        <f t="shared" si="258"/>
        <v>177852.49</v>
      </c>
      <c r="I1137" s="6">
        <f t="shared" si="258"/>
        <v>174804.25</v>
      </c>
      <c r="J1137" s="23">
        <f t="shared" si="258"/>
        <v>180720.42</v>
      </c>
      <c r="K1137" s="23">
        <f t="shared" si="258"/>
        <v>181297.11</v>
      </c>
      <c r="L1137" s="7">
        <f t="shared" si="258"/>
        <v>190316.41</v>
      </c>
      <c r="M1137" s="7">
        <f aca="true" t="shared" si="259" ref="M1137:R1137">SUM(M1136:M1136)</f>
        <v>186374.91</v>
      </c>
      <c r="N1137" s="7">
        <f t="shared" si="259"/>
        <v>199836.4</v>
      </c>
      <c r="O1137" s="7">
        <f t="shared" si="259"/>
        <v>190000</v>
      </c>
      <c r="P1137" s="7">
        <f t="shared" si="259"/>
        <v>228000</v>
      </c>
      <c r="Q1137" s="7">
        <f t="shared" si="259"/>
        <v>237500</v>
      </c>
      <c r="R1137" s="7">
        <f t="shared" si="259"/>
        <v>0</v>
      </c>
    </row>
    <row r="1138" spans="5:9" ht="9" customHeight="1">
      <c r="E1138" s="38"/>
      <c r="I1138" s="10"/>
    </row>
    <row r="1139" spans="5:18" ht="12.75">
      <c r="E1139" s="38" t="s">
        <v>1313</v>
      </c>
      <c r="F1139" s="32">
        <f aca="true" t="shared" si="260" ref="F1139:M1139">F1137</f>
        <v>185817</v>
      </c>
      <c r="G1139" s="32">
        <f t="shared" si="260"/>
        <v>180125.27</v>
      </c>
      <c r="H1139" s="32">
        <f t="shared" si="260"/>
        <v>177852.49</v>
      </c>
      <c r="I1139" s="32">
        <f t="shared" si="260"/>
        <v>174804.25</v>
      </c>
      <c r="J1139" s="32">
        <f t="shared" si="260"/>
        <v>180720.42</v>
      </c>
      <c r="K1139" s="32">
        <f t="shared" si="260"/>
        <v>181297.11</v>
      </c>
      <c r="L1139" s="32">
        <f t="shared" si="260"/>
        <v>190316.41</v>
      </c>
      <c r="M1139" s="32">
        <f t="shared" si="260"/>
        <v>186374.91</v>
      </c>
      <c r="N1139" s="32">
        <f>N1137</f>
        <v>199836.4</v>
      </c>
      <c r="O1139" s="32">
        <f>O1137</f>
        <v>190000</v>
      </c>
      <c r="P1139" s="32">
        <f>P1137</f>
        <v>228000</v>
      </c>
      <c r="Q1139" s="32">
        <f>Q1137</f>
        <v>237500</v>
      </c>
      <c r="R1139" s="32">
        <f>R1137</f>
        <v>0</v>
      </c>
    </row>
    <row r="1140" spans="5:10" ht="12.75" customHeight="1">
      <c r="E1140" s="20"/>
      <c r="F1140" s="25"/>
      <c r="G1140" s="25"/>
      <c r="H1140" s="25"/>
      <c r="I1140" s="23"/>
      <c r="J1140" s="10"/>
    </row>
    <row r="1141" spans="3:10" ht="12.75" customHeight="1">
      <c r="C1141" s="196">
        <v>16501</v>
      </c>
      <c r="D1141" s="196"/>
      <c r="E1141" s="163" t="s">
        <v>1314</v>
      </c>
      <c r="F1141" s="25"/>
      <c r="G1141" s="25"/>
      <c r="H1141" s="25"/>
      <c r="I1141" s="23"/>
      <c r="J1141" s="10"/>
    </row>
    <row r="1142" spans="2:17" ht="12.75" customHeight="1">
      <c r="B1142" s="36">
        <v>6921</v>
      </c>
      <c r="C1142" s="36">
        <v>511000</v>
      </c>
      <c r="E1142" s="34" t="s">
        <v>617</v>
      </c>
      <c r="F1142" s="19">
        <v>0</v>
      </c>
      <c r="G1142" s="19">
        <v>0</v>
      </c>
      <c r="H1142" s="19">
        <v>0</v>
      </c>
      <c r="I1142" s="10">
        <v>182655.09</v>
      </c>
      <c r="J1142" s="9">
        <v>212536.48</v>
      </c>
      <c r="K1142" s="10">
        <v>204661.42</v>
      </c>
      <c r="L1142" s="9">
        <v>204139.49</v>
      </c>
      <c r="M1142" s="9">
        <v>222498.66</v>
      </c>
      <c r="N1142" s="9">
        <v>218033</v>
      </c>
      <c r="O1142" s="9">
        <v>229258</v>
      </c>
      <c r="P1142" s="9">
        <v>229258</v>
      </c>
      <c r="Q1142" s="9">
        <v>233841</v>
      </c>
    </row>
    <row r="1143" spans="2:17" ht="12.75" customHeight="1">
      <c r="B1143" s="36">
        <v>6922</v>
      </c>
      <c r="C1143" s="36">
        <v>511100</v>
      </c>
      <c r="E1143" s="34" t="s">
        <v>408</v>
      </c>
      <c r="F1143" s="19">
        <v>0</v>
      </c>
      <c r="G1143" s="19">
        <v>0</v>
      </c>
      <c r="H1143" s="19">
        <v>0</v>
      </c>
      <c r="I1143" s="10">
        <v>40662.06</v>
      </c>
      <c r="J1143" s="9">
        <v>10926</v>
      </c>
      <c r="K1143" s="10">
        <v>13548</v>
      </c>
      <c r="L1143" s="9">
        <v>18388.8</v>
      </c>
      <c r="M1143" s="9">
        <v>19531.2</v>
      </c>
      <c r="N1143" s="9">
        <v>18020</v>
      </c>
      <c r="O1143" s="9">
        <v>19440</v>
      </c>
      <c r="P1143" s="9">
        <v>19440</v>
      </c>
      <c r="Q1143" s="9">
        <v>19440</v>
      </c>
    </row>
    <row r="1144" spans="2:17" ht="12.75" customHeight="1">
      <c r="B1144" s="49" t="s">
        <v>2320</v>
      </c>
      <c r="C1144" s="49">
        <v>513000</v>
      </c>
      <c r="D1144" s="49"/>
      <c r="E1144" s="34" t="s">
        <v>2186</v>
      </c>
      <c r="I1144" s="10"/>
      <c r="J1144" s="9">
        <v>14431.77</v>
      </c>
      <c r="K1144" s="8">
        <v>23262.15</v>
      </c>
      <c r="L1144" s="9">
        <v>27803.24</v>
      </c>
      <c r="M1144" s="9">
        <v>30027.3</v>
      </c>
      <c r="N1144" s="9">
        <v>36150.13</v>
      </c>
      <c r="O1144" s="9">
        <v>33366</v>
      </c>
      <c r="P1144" s="9">
        <v>33366</v>
      </c>
      <c r="Q1144" s="9">
        <v>33366</v>
      </c>
    </row>
    <row r="1145" spans="2:17" ht="12.75" customHeight="1">
      <c r="B1145" s="66">
        <v>6925</v>
      </c>
      <c r="C1145" s="49">
        <v>514800</v>
      </c>
      <c r="D1145" s="49"/>
      <c r="E1145" s="34" t="s">
        <v>1315</v>
      </c>
      <c r="I1145" s="10"/>
      <c r="N1145" s="9">
        <v>0</v>
      </c>
      <c r="O1145" s="9">
        <v>1275</v>
      </c>
      <c r="P1145" s="9">
        <v>1275</v>
      </c>
      <c r="Q1145" s="9">
        <v>1300</v>
      </c>
    </row>
    <row r="1146" spans="2:17" ht="12.75" customHeight="1">
      <c r="B1146" s="49">
        <v>6924</v>
      </c>
      <c r="C1146" s="49">
        <v>517000</v>
      </c>
      <c r="D1146" s="49"/>
      <c r="E1146" s="34" t="s">
        <v>2222</v>
      </c>
      <c r="I1146" s="10"/>
      <c r="L1146" s="9">
        <v>34757</v>
      </c>
      <c r="M1146" s="9">
        <v>34100.15</v>
      </c>
      <c r="N1146" s="9">
        <v>35529</v>
      </c>
      <c r="O1146" s="9">
        <v>45495</v>
      </c>
      <c r="P1146" s="9">
        <v>45495</v>
      </c>
      <c r="Q1146" s="9">
        <v>58440</v>
      </c>
    </row>
    <row r="1147" spans="2:17" ht="12.75" customHeight="1">
      <c r="B1147" s="66">
        <v>6924.3</v>
      </c>
      <c r="C1147" s="49">
        <v>517200</v>
      </c>
      <c r="D1147" s="49"/>
      <c r="E1147" s="34" t="s">
        <v>2291</v>
      </c>
      <c r="I1147" s="10"/>
      <c r="M1147" s="9">
        <v>2200</v>
      </c>
      <c r="N1147" s="9">
        <v>1693</v>
      </c>
      <c r="O1147" s="9">
        <v>1900</v>
      </c>
      <c r="P1147" s="9">
        <v>1900</v>
      </c>
      <c r="Q1147" s="9">
        <v>1995</v>
      </c>
    </row>
    <row r="1148" spans="2:17" ht="12.75" customHeight="1">
      <c r="B1148" s="66">
        <v>6924.1</v>
      </c>
      <c r="C1148" s="49">
        <v>517800</v>
      </c>
      <c r="D1148" s="49"/>
      <c r="E1148" s="34" t="s">
        <v>2298</v>
      </c>
      <c r="I1148" s="10"/>
      <c r="M1148" s="9">
        <v>2079</v>
      </c>
      <c r="N1148" s="9">
        <v>2100</v>
      </c>
      <c r="O1148" s="9">
        <v>2100</v>
      </c>
      <c r="P1148" s="9">
        <v>2100</v>
      </c>
      <c r="Q1148" s="9">
        <v>2416</v>
      </c>
    </row>
    <row r="1149" spans="2:17" ht="12.75" customHeight="1">
      <c r="B1149" s="66">
        <v>6924.6</v>
      </c>
      <c r="C1149" s="49">
        <v>519001</v>
      </c>
      <c r="D1149" s="49"/>
      <c r="E1149" s="34" t="s">
        <v>741</v>
      </c>
      <c r="I1149" s="10"/>
      <c r="N1149" s="9">
        <v>0</v>
      </c>
      <c r="O1149" s="9">
        <v>780</v>
      </c>
      <c r="P1149" s="9">
        <v>780</v>
      </c>
      <c r="Q1149" s="9">
        <v>780</v>
      </c>
    </row>
    <row r="1150" spans="2:17" ht="12.75" customHeight="1">
      <c r="B1150" s="66">
        <v>6925.5</v>
      </c>
      <c r="C1150" s="49">
        <v>519900</v>
      </c>
      <c r="D1150" s="49"/>
      <c r="E1150" s="34" t="s">
        <v>637</v>
      </c>
      <c r="I1150" s="10"/>
      <c r="N1150" s="9">
        <v>0</v>
      </c>
      <c r="O1150" s="9">
        <v>2875</v>
      </c>
      <c r="P1150" s="9">
        <v>2875</v>
      </c>
      <c r="Q1150" s="9">
        <v>2875</v>
      </c>
    </row>
    <row r="1151" spans="2:19" s="38" customFormat="1" ht="12.75" customHeight="1">
      <c r="B1151" s="15"/>
      <c r="C1151" s="39"/>
      <c r="D1151" s="39"/>
      <c r="E1151" s="20" t="s">
        <v>2187</v>
      </c>
      <c r="F1151" s="25">
        <f>SUM(F1142:F1143)</f>
        <v>0</v>
      </c>
      <c r="G1151" s="25">
        <f>SUM(G1142:G1143)</f>
        <v>0</v>
      </c>
      <c r="H1151" s="25">
        <f>SUM(H1142:H1143)</f>
        <v>0</v>
      </c>
      <c r="I1151" s="23">
        <f>SUM(I1142:I1143)</f>
        <v>223317.15</v>
      </c>
      <c r="J1151" s="23">
        <f>SUM(J1142:J1144)</f>
        <v>237894.25</v>
      </c>
      <c r="K1151" s="23">
        <f>SUM(K1142:K1144)</f>
        <v>241471.57</v>
      </c>
      <c r="L1151" s="7">
        <f>SUM(L1142:L1145)</f>
        <v>250331.52999999997</v>
      </c>
      <c r="M1151" s="7">
        <f aca="true" t="shared" si="261" ref="M1151:R1151">SUM(M1142:M1150)</f>
        <v>310436.31000000006</v>
      </c>
      <c r="N1151" s="7">
        <f t="shared" si="261"/>
        <v>311525.13</v>
      </c>
      <c r="O1151" s="7">
        <f t="shared" si="261"/>
        <v>336489</v>
      </c>
      <c r="P1151" s="7">
        <f t="shared" si="261"/>
        <v>336489</v>
      </c>
      <c r="Q1151" s="7">
        <f t="shared" si="261"/>
        <v>354453</v>
      </c>
      <c r="R1151" s="7">
        <f t="shared" si="261"/>
        <v>0</v>
      </c>
      <c r="S1151" s="57"/>
    </row>
    <row r="1152" spans="3:10" ht="12.75">
      <c r="C1152" s="196">
        <v>16502</v>
      </c>
      <c r="D1152" s="196"/>
      <c r="E1152" s="20"/>
      <c r="F1152" s="25"/>
      <c r="G1152" s="25"/>
      <c r="H1152" s="25"/>
      <c r="I1152" s="23"/>
      <c r="J1152" s="10"/>
    </row>
    <row r="1153" spans="2:17" ht="12.75" customHeight="1">
      <c r="B1153" s="50" t="s">
        <v>1099</v>
      </c>
      <c r="C1153" s="49">
        <v>522700</v>
      </c>
      <c r="D1153" s="49"/>
      <c r="E1153" s="3" t="s">
        <v>1129</v>
      </c>
      <c r="F1153" s="19">
        <v>0</v>
      </c>
      <c r="G1153" s="19">
        <v>2545.2</v>
      </c>
      <c r="H1153" s="19">
        <v>1095.9</v>
      </c>
      <c r="I1153" s="10">
        <v>2591.38</v>
      </c>
      <c r="J1153" s="10">
        <v>2058.52</v>
      </c>
      <c r="K1153" s="10">
        <v>2817.49</v>
      </c>
      <c r="L1153" s="9">
        <v>2870.31</v>
      </c>
      <c r="N1153" s="9">
        <v>3339.61</v>
      </c>
      <c r="O1153" s="9">
        <v>3340</v>
      </c>
      <c r="P1153" s="9">
        <v>3340</v>
      </c>
      <c r="Q1153" s="9">
        <v>3675</v>
      </c>
    </row>
    <row r="1154" spans="2:17" ht="12.75" customHeight="1">
      <c r="B1154" s="50" t="s">
        <v>1079</v>
      </c>
      <c r="C1154" s="49">
        <v>522900</v>
      </c>
      <c r="D1154" s="49"/>
      <c r="E1154" s="3" t="s">
        <v>1125</v>
      </c>
      <c r="F1154" s="19">
        <v>0</v>
      </c>
      <c r="G1154" s="19">
        <v>0</v>
      </c>
      <c r="H1154" s="19">
        <v>35878.73</v>
      </c>
      <c r="I1154" s="10">
        <v>37652.08</v>
      </c>
      <c r="J1154" s="10">
        <v>37046.41</v>
      </c>
      <c r="K1154" s="10">
        <v>38550.54</v>
      </c>
      <c r="L1154" s="9">
        <v>36590.53</v>
      </c>
      <c r="M1154" s="9">
        <v>33756.16</v>
      </c>
      <c r="N1154" s="9">
        <v>30213.85</v>
      </c>
      <c r="O1154" s="9">
        <v>40685</v>
      </c>
      <c r="P1154" s="9">
        <v>40685</v>
      </c>
      <c r="Q1154" s="9">
        <v>53860</v>
      </c>
    </row>
    <row r="1155" spans="2:17" ht="12.75" customHeight="1">
      <c r="B1155" s="50" t="s">
        <v>1083</v>
      </c>
      <c r="C1155" s="49">
        <v>523100</v>
      </c>
      <c r="D1155" s="49"/>
      <c r="E1155" s="3" t="s">
        <v>1126</v>
      </c>
      <c r="F1155" s="19">
        <v>0</v>
      </c>
      <c r="G1155" s="19">
        <v>0</v>
      </c>
      <c r="H1155" s="19">
        <v>15621.08</v>
      </c>
      <c r="I1155" s="10">
        <v>19307.59</v>
      </c>
      <c r="J1155" s="10">
        <v>28493.03</v>
      </c>
      <c r="K1155" s="10">
        <v>18698.8</v>
      </c>
      <c r="L1155" s="9">
        <v>10352.92</v>
      </c>
      <c r="M1155" s="9">
        <v>18039.2</v>
      </c>
      <c r="N1155" s="9">
        <v>13107.29</v>
      </c>
      <c r="O1155" s="9">
        <v>17000</v>
      </c>
      <c r="P1155" s="9">
        <v>17000</v>
      </c>
      <c r="Q1155" s="9">
        <v>18700</v>
      </c>
    </row>
    <row r="1156" spans="2:17" ht="12.75" customHeight="1">
      <c r="B1156" s="50" t="s">
        <v>1093</v>
      </c>
      <c r="C1156" s="49">
        <v>524300</v>
      </c>
      <c r="D1156" s="49"/>
      <c r="E1156" s="3" t="s">
        <v>1128</v>
      </c>
      <c r="F1156" s="19">
        <v>0</v>
      </c>
      <c r="G1156" s="19">
        <v>0</v>
      </c>
      <c r="H1156" s="19">
        <v>49591.87</v>
      </c>
      <c r="I1156" s="10">
        <v>39656.99</v>
      </c>
      <c r="J1156" s="10">
        <v>1301.82</v>
      </c>
      <c r="K1156" s="10">
        <v>0</v>
      </c>
      <c r="L1156" s="9">
        <v>3839.32</v>
      </c>
      <c r="M1156" s="9">
        <v>1218.7</v>
      </c>
      <c r="N1156" s="9">
        <v>1222.54</v>
      </c>
      <c r="O1156" s="9">
        <v>1224</v>
      </c>
      <c r="P1156" s="9">
        <v>1224</v>
      </c>
      <c r="Q1156" s="9">
        <v>1261</v>
      </c>
    </row>
    <row r="1157" spans="2:17" ht="12.75" customHeight="1">
      <c r="B1157" s="36">
        <v>6405</v>
      </c>
      <c r="C1157" s="36">
        <v>524300</v>
      </c>
      <c r="E1157" s="3" t="s">
        <v>1127</v>
      </c>
      <c r="F1157" s="19">
        <v>0</v>
      </c>
      <c r="G1157" s="19">
        <v>0</v>
      </c>
      <c r="H1157" s="19">
        <v>5882.4</v>
      </c>
      <c r="I1157" s="10">
        <v>10848.79</v>
      </c>
      <c r="J1157" s="10">
        <v>26464.95</v>
      </c>
      <c r="K1157" s="10">
        <v>35162.48</v>
      </c>
      <c r="L1157" s="9">
        <v>28357.78</v>
      </c>
      <c r="M1157" s="9">
        <v>25773.7</v>
      </c>
      <c r="N1157" s="9">
        <v>26773.23</v>
      </c>
      <c r="O1157" s="9">
        <v>27420</v>
      </c>
      <c r="P1157" s="9">
        <v>27420</v>
      </c>
      <c r="Q1157" s="9">
        <v>28243</v>
      </c>
    </row>
    <row r="1158" spans="2:17" ht="12.75" customHeight="1">
      <c r="B1158" s="36" t="s">
        <v>1326</v>
      </c>
      <c r="C1158" s="36">
        <v>524300</v>
      </c>
      <c r="E1158" s="3" t="s">
        <v>1327</v>
      </c>
      <c r="I1158" s="10"/>
      <c r="J1158" s="10"/>
      <c r="K1158" s="10"/>
      <c r="O1158" s="9">
        <v>6000</v>
      </c>
      <c r="P1158" s="9">
        <v>6000</v>
      </c>
      <c r="Q1158" s="9">
        <v>6000</v>
      </c>
    </row>
    <row r="1159" spans="2:17" ht="12.75" customHeight="1">
      <c r="B1159" s="36">
        <v>6915</v>
      </c>
      <c r="C1159" s="36">
        <v>524400</v>
      </c>
      <c r="E1159" s="3" t="s">
        <v>1120</v>
      </c>
      <c r="F1159" s="19">
        <v>4521</v>
      </c>
      <c r="G1159" s="19">
        <v>5068.78</v>
      </c>
      <c r="H1159" s="19">
        <v>8518.62</v>
      </c>
      <c r="I1159" s="10">
        <v>8152.07</v>
      </c>
      <c r="J1159" s="10">
        <v>10218.78</v>
      </c>
      <c r="K1159" s="10">
        <v>9620.47</v>
      </c>
      <c r="L1159" s="9">
        <v>13062.12</v>
      </c>
      <c r="M1159" s="9">
        <v>9250.93</v>
      </c>
      <c r="N1159" s="9">
        <v>13987.11</v>
      </c>
      <c r="O1159" s="9">
        <v>7680</v>
      </c>
      <c r="P1159" s="9">
        <v>7680</v>
      </c>
      <c r="Q1159" s="9">
        <v>9216</v>
      </c>
    </row>
    <row r="1160" spans="2:18" ht="12.75" customHeight="1">
      <c r="B1160" s="36">
        <v>6911</v>
      </c>
      <c r="C1160" s="36">
        <v>524500</v>
      </c>
      <c r="E1160" s="3" t="s">
        <v>512</v>
      </c>
      <c r="F1160" s="19">
        <v>5411</v>
      </c>
      <c r="G1160" s="19">
        <v>6292.55</v>
      </c>
      <c r="H1160" s="19">
        <v>6648.44</v>
      </c>
      <c r="I1160" s="10">
        <v>0</v>
      </c>
      <c r="J1160" s="10">
        <v>16615.52</v>
      </c>
      <c r="K1160" s="10">
        <v>6473.18</v>
      </c>
      <c r="L1160" s="9">
        <v>8515.84</v>
      </c>
      <c r="M1160" s="9">
        <v>0</v>
      </c>
      <c r="N1160" s="9">
        <v>3336</v>
      </c>
      <c r="O1160" s="9">
        <v>0</v>
      </c>
      <c r="P1160" s="9">
        <v>0</v>
      </c>
      <c r="Q1160" s="9">
        <v>0</v>
      </c>
      <c r="R1160" s="9">
        <v>0</v>
      </c>
    </row>
    <row r="1161" spans="2:17" ht="12.75" customHeight="1">
      <c r="B1161" s="50">
        <v>6888.5</v>
      </c>
      <c r="C1161" s="49">
        <v>534100</v>
      </c>
      <c r="D1161" s="49"/>
      <c r="E1161" s="3" t="s">
        <v>1316</v>
      </c>
      <c r="I1161" s="10"/>
      <c r="J1161" s="10"/>
      <c r="K1161" s="10"/>
      <c r="L1161" s="9">
        <v>862.76</v>
      </c>
      <c r="M1161" s="9">
        <v>1075.18</v>
      </c>
      <c r="N1161" s="9">
        <v>1408.85</v>
      </c>
      <c r="O1161" s="9">
        <v>2040</v>
      </c>
      <c r="P1161" s="9">
        <v>2040</v>
      </c>
      <c r="Q1161" s="9">
        <v>2100</v>
      </c>
    </row>
    <row r="1162" spans="2:17" ht="12.75" customHeight="1">
      <c r="B1162" s="50">
        <v>6889.1</v>
      </c>
      <c r="C1162" s="49">
        <v>534100</v>
      </c>
      <c r="D1162" s="49"/>
      <c r="E1162" s="3" t="s">
        <v>739</v>
      </c>
      <c r="I1162" s="10"/>
      <c r="J1162" s="10"/>
      <c r="K1162" s="10"/>
      <c r="M1162" s="9">
        <v>1809.26</v>
      </c>
      <c r="N1162" s="9">
        <v>1313.55</v>
      </c>
      <c r="O1162" s="9">
        <v>1440</v>
      </c>
      <c r="P1162" s="9">
        <v>1440</v>
      </c>
      <c r="Q1162" s="9">
        <v>1500</v>
      </c>
    </row>
    <row r="1163" spans="2:17" ht="12.75" customHeight="1">
      <c r="B1163" s="11">
        <v>6915.5</v>
      </c>
      <c r="C1163" s="36">
        <v>542100</v>
      </c>
      <c r="E1163" s="3" t="s">
        <v>2335</v>
      </c>
      <c r="I1163" s="10"/>
      <c r="J1163" s="10"/>
      <c r="K1163" s="10"/>
      <c r="M1163" s="9">
        <v>298.11</v>
      </c>
      <c r="N1163" s="9">
        <v>276.89</v>
      </c>
      <c r="O1163" s="9">
        <v>300</v>
      </c>
      <c r="P1163" s="9">
        <v>300</v>
      </c>
      <c r="Q1163" s="9">
        <v>310</v>
      </c>
    </row>
    <row r="1164" spans="2:17" ht="12.75" customHeight="1">
      <c r="B1164" s="50" t="s">
        <v>1114</v>
      </c>
      <c r="C1164" s="49">
        <v>545002</v>
      </c>
      <c r="D1164" s="49"/>
      <c r="E1164" s="3" t="s">
        <v>1131</v>
      </c>
      <c r="F1164" s="19">
        <v>14741</v>
      </c>
      <c r="G1164" s="19">
        <v>0</v>
      </c>
      <c r="H1164" s="19">
        <v>32499.08</v>
      </c>
      <c r="I1164" s="10">
        <v>22526.33</v>
      </c>
      <c r="J1164" s="10">
        <v>16560.39</v>
      </c>
      <c r="K1164" s="10">
        <v>26600.96</v>
      </c>
      <c r="L1164" s="9">
        <v>25442.97</v>
      </c>
      <c r="M1164" s="9">
        <v>22583.69</v>
      </c>
      <c r="N1164" s="9">
        <v>25914.12</v>
      </c>
      <c r="O1164" s="9">
        <v>25000</v>
      </c>
      <c r="P1164" s="9">
        <v>25000</v>
      </c>
      <c r="Q1164" s="9">
        <v>25750</v>
      </c>
    </row>
    <row r="1165" spans="2:17" ht="12.75" customHeight="1">
      <c r="B1165" s="36">
        <v>6895</v>
      </c>
      <c r="C1165" s="36">
        <v>545003</v>
      </c>
      <c r="E1165" s="3" t="s">
        <v>1132</v>
      </c>
      <c r="F1165" s="19">
        <v>1851</v>
      </c>
      <c r="G1165" s="19">
        <v>0</v>
      </c>
      <c r="H1165" s="19">
        <v>4919.54</v>
      </c>
      <c r="I1165" s="10">
        <v>3512.28</v>
      </c>
      <c r="J1165" s="10">
        <v>16908.42</v>
      </c>
      <c r="K1165" s="10">
        <v>18643.66</v>
      </c>
      <c r="L1165" s="9">
        <v>17997.3</v>
      </c>
      <c r="M1165" s="9">
        <v>28882.68</v>
      </c>
      <c r="N1165" s="9">
        <v>18493.99</v>
      </c>
      <c r="O1165" s="9">
        <v>20000</v>
      </c>
      <c r="P1165" s="9">
        <v>20000</v>
      </c>
      <c r="Q1165" s="9">
        <v>20600</v>
      </c>
    </row>
    <row r="1166" spans="2:17" ht="12.75" customHeight="1">
      <c r="B1166" s="36">
        <v>6404</v>
      </c>
      <c r="C1166" s="36">
        <v>546000</v>
      </c>
      <c r="E1166" s="3" t="s">
        <v>1130</v>
      </c>
      <c r="F1166" s="19">
        <v>9304</v>
      </c>
      <c r="G1166" s="19">
        <v>15255.83</v>
      </c>
      <c r="H1166" s="19">
        <v>14149.65</v>
      </c>
      <c r="I1166" s="10">
        <v>15876.53</v>
      </c>
      <c r="J1166" s="10">
        <v>6105</v>
      </c>
      <c r="K1166" s="10">
        <v>1548.19</v>
      </c>
      <c r="L1166" s="9">
        <v>1800.72</v>
      </c>
      <c r="M1166" s="9">
        <v>10243.05</v>
      </c>
      <c r="N1166" s="9">
        <v>24927.72</v>
      </c>
      <c r="O1166" s="9">
        <v>19267</v>
      </c>
      <c r="P1166" s="9">
        <v>19267</v>
      </c>
      <c r="Q1166" s="9">
        <v>19850</v>
      </c>
    </row>
    <row r="1167" spans="2:17" ht="12.75" customHeight="1">
      <c r="B1167" s="36">
        <v>6913</v>
      </c>
      <c r="C1167" s="36">
        <v>548900</v>
      </c>
      <c r="E1167" s="3" t="s">
        <v>1133</v>
      </c>
      <c r="F1167" s="19">
        <v>3824</v>
      </c>
      <c r="G1167" s="19">
        <v>3010.79</v>
      </c>
      <c r="H1167" s="19">
        <v>3417.59</v>
      </c>
      <c r="I1167" s="10">
        <v>4784.86</v>
      </c>
      <c r="J1167" s="10">
        <v>4880.55</v>
      </c>
      <c r="K1167" s="10">
        <v>3974.16</v>
      </c>
      <c r="L1167" s="9">
        <v>4478.93</v>
      </c>
      <c r="M1167" s="9">
        <v>4924.09</v>
      </c>
      <c r="N1167" s="9">
        <v>7094.57</v>
      </c>
      <c r="O1167" s="9">
        <v>4800</v>
      </c>
      <c r="P1167" s="9">
        <v>4800</v>
      </c>
      <c r="Q1167" s="9">
        <v>5280</v>
      </c>
    </row>
    <row r="1168" spans="2:17" ht="12.75" customHeight="1">
      <c r="B1168" s="36">
        <v>6914</v>
      </c>
      <c r="C1168" s="36">
        <v>548900</v>
      </c>
      <c r="E1168" s="3" t="s">
        <v>1134</v>
      </c>
      <c r="F1168" s="19">
        <v>375</v>
      </c>
      <c r="G1168" s="19">
        <v>475.48</v>
      </c>
      <c r="H1168" s="19">
        <v>911.81</v>
      </c>
      <c r="I1168" s="10">
        <v>1043.66</v>
      </c>
      <c r="J1168" s="10">
        <v>931.77</v>
      </c>
      <c r="K1168" s="10">
        <v>517.8</v>
      </c>
      <c r="L1168" s="9">
        <v>956.31</v>
      </c>
      <c r="M1168" s="9">
        <v>1229.86</v>
      </c>
      <c r="N1168" s="9">
        <v>3031.06</v>
      </c>
      <c r="O1168" s="9">
        <v>4800</v>
      </c>
      <c r="P1168" s="9">
        <v>4800</v>
      </c>
      <c r="Q1168" s="9">
        <v>5280</v>
      </c>
    </row>
    <row r="1169" spans="2:19" s="38" customFormat="1" ht="13.5" customHeight="1">
      <c r="B1169" s="15"/>
      <c r="C1169" s="39"/>
      <c r="D1169" s="39"/>
      <c r="E1169" s="20" t="s">
        <v>2274</v>
      </c>
      <c r="F1169" s="25">
        <f aca="true" t="shared" si="262" ref="F1169:K1169">SUM(F1161:F1167)</f>
        <v>29720</v>
      </c>
      <c r="G1169" s="25">
        <f t="shared" si="262"/>
        <v>18266.62</v>
      </c>
      <c r="H1169" s="25">
        <f t="shared" si="262"/>
        <v>54985.86</v>
      </c>
      <c r="I1169" s="23">
        <f t="shared" si="262"/>
        <v>46700</v>
      </c>
      <c r="J1169" s="23">
        <f t="shared" si="262"/>
        <v>44454.36</v>
      </c>
      <c r="K1169" s="23">
        <f t="shared" si="262"/>
        <v>50766.97</v>
      </c>
      <c r="L1169" s="7">
        <f aca="true" t="shared" si="263" ref="L1169:Q1169">SUM(L1153:L1168)</f>
        <v>155127.80999999997</v>
      </c>
      <c r="M1169" s="7">
        <f t="shared" si="263"/>
        <v>159084.60999999996</v>
      </c>
      <c r="N1169" s="7">
        <f t="shared" si="263"/>
        <v>174440.38</v>
      </c>
      <c r="O1169" s="7">
        <f t="shared" si="263"/>
        <v>180996</v>
      </c>
      <c r="P1169" s="7">
        <f t="shared" si="263"/>
        <v>180996</v>
      </c>
      <c r="Q1169" s="7">
        <f t="shared" si="263"/>
        <v>201625</v>
      </c>
      <c r="R1169" s="7">
        <f>SUM(R1153:R1167)</f>
        <v>0</v>
      </c>
      <c r="S1169" s="57"/>
    </row>
    <row r="1170" spans="2:11" ht="12.75" customHeight="1">
      <c r="B1170" s="36"/>
      <c r="C1170" s="196">
        <v>16503</v>
      </c>
      <c r="D1170" s="196"/>
      <c r="I1170" s="10"/>
      <c r="J1170" s="10"/>
      <c r="K1170" s="10"/>
    </row>
    <row r="1171" spans="2:16" ht="12.75" customHeight="1">
      <c r="B1171" s="11">
        <v>6917.1</v>
      </c>
      <c r="C1171" s="36">
        <v>585000</v>
      </c>
      <c r="E1171" s="3" t="s">
        <v>1400</v>
      </c>
      <c r="I1171" s="10"/>
      <c r="J1171" s="10"/>
      <c r="K1171" s="10"/>
      <c r="O1171" s="9">
        <v>3000</v>
      </c>
      <c r="P1171" s="9">
        <v>3000</v>
      </c>
    </row>
    <row r="1172" spans="5:17" ht="12.75" customHeight="1">
      <c r="E1172" s="3" t="s">
        <v>513</v>
      </c>
      <c r="I1172" s="10"/>
      <c r="J1172" s="10"/>
      <c r="K1172" s="10"/>
      <c r="Q1172" s="9">
        <v>8000</v>
      </c>
    </row>
    <row r="1173" spans="2:16" ht="12.75" customHeight="1">
      <c r="B1173" s="11">
        <v>6917.1</v>
      </c>
      <c r="C1173" s="36">
        <v>585000</v>
      </c>
      <c r="E1173" s="3" t="s">
        <v>1328</v>
      </c>
      <c r="I1173" s="10"/>
      <c r="J1173" s="10"/>
      <c r="K1173" s="10"/>
      <c r="O1173" s="9">
        <v>8000</v>
      </c>
      <c r="P1173" s="9">
        <v>8000</v>
      </c>
    </row>
    <row r="1174" spans="2:19" s="20" customFormat="1" ht="12.75" customHeight="1">
      <c r="B1174" s="51"/>
      <c r="C1174" s="196"/>
      <c r="D1174" s="196"/>
      <c r="E1174" s="20" t="s">
        <v>2277</v>
      </c>
      <c r="F1174" s="25"/>
      <c r="G1174" s="25"/>
      <c r="H1174" s="25"/>
      <c r="I1174" s="23"/>
      <c r="J1174" s="23" t="e">
        <f>SUM(#REF!)</f>
        <v>#REF!</v>
      </c>
      <c r="K1174" s="23" t="e">
        <f>SUM(#REF!)</f>
        <v>#REF!</v>
      </c>
      <c r="L1174" s="7">
        <f>SUM(L1171:L1173)</f>
        <v>0</v>
      </c>
      <c r="M1174" s="7">
        <f>SUM(M1171:M1173)</f>
        <v>0</v>
      </c>
      <c r="N1174" s="7">
        <f>SUM(N1171:N1173)</f>
        <v>0</v>
      </c>
      <c r="O1174" s="7">
        <f>SUM(O1170:O1173)</f>
        <v>11000</v>
      </c>
      <c r="P1174" s="7">
        <f>SUM(P1170:P1173)</f>
        <v>11000</v>
      </c>
      <c r="Q1174" s="7">
        <f>SUM(Q1170:Q1173)</f>
        <v>8000</v>
      </c>
      <c r="R1174" s="7">
        <f>SUM(R1170:R1173)</f>
        <v>0</v>
      </c>
      <c r="S1174" s="22"/>
    </row>
    <row r="1175" spans="5:10" ht="6.75" customHeight="1">
      <c r="E1175" s="20"/>
      <c r="I1175" s="10"/>
      <c r="J1175" s="10"/>
    </row>
    <row r="1176" spans="5:18" ht="12.75">
      <c r="E1176" s="48" t="s">
        <v>1317</v>
      </c>
      <c r="F1176" s="31">
        <f>SUM(F1142:F1169)/2</f>
        <v>34873.5</v>
      </c>
      <c r="G1176" s="31">
        <f>SUM(G1142:G1169)/2</f>
        <v>25457.625</v>
      </c>
      <c r="H1176" s="31">
        <f>SUM(H1142:H1169)/2</f>
        <v>117060.285</v>
      </c>
      <c r="I1176" s="28">
        <f>SUM(I1142:I1169)/2</f>
        <v>329643.43000000005</v>
      </c>
      <c r="J1176" s="28" t="e">
        <f>SUM(J1142:J1174)/2</f>
        <v>#REF!</v>
      </c>
      <c r="K1176" s="28" t="e">
        <f>SUM(K1142:K1174)/2</f>
        <v>#REF!</v>
      </c>
      <c r="L1176" s="32">
        <f>SUM(L1142:L1174)/2</f>
        <v>422837.84</v>
      </c>
      <c r="M1176" s="32">
        <f>SUM(M1151+M1169+M1174)</f>
        <v>469520.92000000004</v>
      </c>
      <c r="N1176" s="32">
        <f>SUM(N1151+N1169+N1174)</f>
        <v>485965.51</v>
      </c>
      <c r="O1176" s="32">
        <f>SUM(O1151+O1169+O1174)</f>
        <v>528485</v>
      </c>
      <c r="P1176" s="32">
        <f>SUM(P1151+P1169+P1174)</f>
        <v>528485</v>
      </c>
      <c r="Q1176" s="32">
        <f>SUM(Q1151+Q1169+Q1174)</f>
        <v>564078</v>
      </c>
      <c r="R1176" s="32">
        <f>SUM(R1142:R1174)/2</f>
        <v>0</v>
      </c>
    </row>
    <row r="1177" spans="2:10" ht="14.25" hidden="1">
      <c r="B1177" s="52" t="s">
        <v>2241</v>
      </c>
      <c r="C1177" s="197"/>
      <c r="D1177" s="197"/>
      <c r="E1177" s="34" t="s">
        <v>1135</v>
      </c>
      <c r="F1177" s="31"/>
      <c r="G1177" s="31"/>
      <c r="H1177" s="31"/>
      <c r="I1177" s="28"/>
      <c r="J1177" s="10"/>
    </row>
    <row r="1178" spans="2:10" ht="14.25">
      <c r="B1178" s="52"/>
      <c r="C1178" s="197"/>
      <c r="D1178" s="197"/>
      <c r="E1178" s="34"/>
      <c r="F1178" s="31"/>
      <c r="G1178" s="31"/>
      <c r="H1178" s="31"/>
      <c r="I1178" s="28"/>
      <c r="J1178" s="10"/>
    </row>
    <row r="1179" spans="1:10" ht="12.75">
      <c r="A1179" s="3" t="s">
        <v>2180</v>
      </c>
      <c r="C1179" s="196">
        <v>14911</v>
      </c>
      <c r="D1179" s="196"/>
      <c r="E1179" s="163" t="s">
        <v>1136</v>
      </c>
      <c r="I1179" s="10"/>
      <c r="J1179" s="10"/>
    </row>
    <row r="1180" spans="1:17" ht="12.75">
      <c r="A1180" s="3" t="s">
        <v>1137</v>
      </c>
      <c r="B1180" s="11" t="s">
        <v>1138</v>
      </c>
      <c r="C1180" s="36">
        <v>511000</v>
      </c>
      <c r="E1180" s="3" t="s">
        <v>2363</v>
      </c>
      <c r="F1180" s="19">
        <v>124044</v>
      </c>
      <c r="G1180" s="19">
        <v>145205.05</v>
      </c>
      <c r="H1180" s="19">
        <v>156701.18</v>
      </c>
      <c r="I1180" s="10">
        <v>159797.03</v>
      </c>
      <c r="J1180" s="9">
        <v>173251.54</v>
      </c>
      <c r="K1180" s="10">
        <v>183413.19</v>
      </c>
      <c r="L1180" s="9">
        <v>187865.26</v>
      </c>
      <c r="M1180" s="9">
        <v>190249.47</v>
      </c>
      <c r="N1180" s="9">
        <v>208626.87</v>
      </c>
      <c r="O1180" s="9">
        <v>236920</v>
      </c>
      <c r="P1180" s="9">
        <v>238322</v>
      </c>
      <c r="Q1180" s="9">
        <v>240432</v>
      </c>
    </row>
    <row r="1181" spans="1:17" ht="12.75">
      <c r="A1181" s="3" t="s">
        <v>1139</v>
      </c>
      <c r="B1181" s="11" t="s">
        <v>1140</v>
      </c>
      <c r="C1181" s="36">
        <v>511100</v>
      </c>
      <c r="E1181" s="3" t="s">
        <v>1141</v>
      </c>
      <c r="F1181" s="19">
        <v>20576</v>
      </c>
      <c r="G1181" s="19">
        <v>13884.88</v>
      </c>
      <c r="H1181" s="19">
        <v>6901.67</v>
      </c>
      <c r="I1181" s="10">
        <v>17622.43</v>
      </c>
      <c r="J1181" s="9">
        <v>13356.4</v>
      </c>
      <c r="K1181" s="10">
        <v>27113.1</v>
      </c>
      <c r="L1181" s="9">
        <v>25726.92</v>
      </c>
      <c r="M1181" s="9">
        <v>22669.88</v>
      </c>
      <c r="N1181" s="9">
        <v>26029.01</v>
      </c>
      <c r="O1181" s="9">
        <v>23825</v>
      </c>
      <c r="P1181" s="9">
        <v>22433</v>
      </c>
      <c r="Q1181" s="9">
        <v>65745</v>
      </c>
    </row>
    <row r="1182" spans="1:17" ht="12.75">
      <c r="A1182" s="3" t="s">
        <v>1142</v>
      </c>
      <c r="B1182" s="11" t="s">
        <v>1143</v>
      </c>
      <c r="C1182" s="36">
        <v>513000</v>
      </c>
      <c r="E1182" s="3" t="s">
        <v>2186</v>
      </c>
      <c r="F1182" s="19">
        <v>12303</v>
      </c>
      <c r="G1182" s="19">
        <v>11506.11</v>
      </c>
      <c r="H1182" s="19">
        <v>11448.06</v>
      </c>
      <c r="I1182" s="10">
        <v>14625.68</v>
      </c>
      <c r="J1182" s="10">
        <v>12636.66</v>
      </c>
      <c r="K1182" s="10">
        <v>11719.83</v>
      </c>
      <c r="L1182" s="9">
        <v>14585.91</v>
      </c>
      <c r="M1182" s="9">
        <v>15618.23</v>
      </c>
      <c r="N1182" s="9">
        <v>8868.54</v>
      </c>
      <c r="O1182" s="9">
        <v>21408</v>
      </c>
      <c r="P1182" s="9">
        <v>17000</v>
      </c>
      <c r="Q1182" s="9">
        <v>21408</v>
      </c>
    </row>
    <row r="1183" spans="1:17" ht="12.75">
      <c r="A1183" s="3" t="s">
        <v>1144</v>
      </c>
      <c r="B1183" s="11" t="s">
        <v>1145</v>
      </c>
      <c r="C1183" s="36">
        <v>514800</v>
      </c>
      <c r="E1183" s="3" t="s">
        <v>2288</v>
      </c>
      <c r="F1183" s="19">
        <v>375</v>
      </c>
      <c r="G1183" s="19">
        <v>375</v>
      </c>
      <c r="H1183" s="19">
        <v>375</v>
      </c>
      <c r="I1183" s="10">
        <v>375</v>
      </c>
      <c r="J1183" s="10">
        <v>625</v>
      </c>
      <c r="K1183" s="10">
        <v>650</v>
      </c>
      <c r="L1183" s="9">
        <v>875</v>
      </c>
      <c r="M1183" s="9">
        <v>875</v>
      </c>
      <c r="N1183" s="9">
        <v>900</v>
      </c>
      <c r="O1183" s="9">
        <v>925</v>
      </c>
      <c r="P1183" s="9">
        <v>925</v>
      </c>
      <c r="Q1183" s="9">
        <v>925</v>
      </c>
    </row>
    <row r="1184" spans="1:17" ht="12.75">
      <c r="A1184" s="3" t="s">
        <v>1150</v>
      </c>
      <c r="B1184" s="11" t="s">
        <v>1151</v>
      </c>
      <c r="C1184" s="36">
        <v>517000</v>
      </c>
      <c r="E1184" s="3" t="s">
        <v>2222</v>
      </c>
      <c r="F1184" s="19">
        <v>20689</v>
      </c>
      <c r="G1184" s="19">
        <v>18840</v>
      </c>
      <c r="H1184" s="19">
        <v>21688</v>
      </c>
      <c r="I1184" s="10">
        <v>18330</v>
      </c>
      <c r="J1184" s="10">
        <v>24593</v>
      </c>
      <c r="K1184" s="10">
        <v>26431</v>
      </c>
      <c r="L1184" s="9">
        <v>37722</v>
      </c>
      <c r="M1184" s="9">
        <v>37009.55</v>
      </c>
      <c r="N1184" s="9">
        <v>43743</v>
      </c>
      <c r="O1184" s="9">
        <v>63970</v>
      </c>
      <c r="P1184" s="9">
        <v>63970</v>
      </c>
      <c r="Q1184" s="9">
        <v>74073</v>
      </c>
    </row>
    <row r="1185" spans="1:17" ht="12.75">
      <c r="A1185" s="3" t="s">
        <v>1146</v>
      </c>
      <c r="B1185" s="11" t="s">
        <v>1147</v>
      </c>
      <c r="C1185" s="36">
        <v>517200</v>
      </c>
      <c r="E1185" s="3" t="s">
        <v>2291</v>
      </c>
      <c r="F1185" s="19">
        <v>5301</v>
      </c>
      <c r="G1185" s="19">
        <v>3976</v>
      </c>
      <c r="H1185" s="19">
        <v>3976</v>
      </c>
      <c r="I1185" s="10">
        <v>3976</v>
      </c>
      <c r="J1185" s="10">
        <v>3976</v>
      </c>
      <c r="K1185" s="10">
        <v>3976</v>
      </c>
      <c r="L1185" s="9">
        <v>3976</v>
      </c>
      <c r="M1185" s="9">
        <v>5575</v>
      </c>
      <c r="N1185" s="9">
        <v>4291</v>
      </c>
      <c r="O1185" s="9">
        <v>4874</v>
      </c>
      <c r="P1185" s="9">
        <v>4874</v>
      </c>
      <c r="Q1185" s="9">
        <v>5118</v>
      </c>
    </row>
    <row r="1186" spans="1:17" ht="12.75">
      <c r="A1186" s="3" t="s">
        <v>1152</v>
      </c>
      <c r="B1186" s="11" t="s">
        <v>1153</v>
      </c>
      <c r="C1186" s="36">
        <v>517800</v>
      </c>
      <c r="E1186" s="3" t="s">
        <v>2298</v>
      </c>
      <c r="F1186" s="19">
        <v>656</v>
      </c>
      <c r="G1186" s="19">
        <v>534</v>
      </c>
      <c r="H1186" s="19">
        <v>700</v>
      </c>
      <c r="I1186" s="10">
        <v>1080</v>
      </c>
      <c r="J1186" s="10">
        <v>1280</v>
      </c>
      <c r="K1186" s="10">
        <v>820</v>
      </c>
      <c r="L1186" s="9">
        <v>820</v>
      </c>
      <c r="M1186" s="9">
        <v>2070</v>
      </c>
      <c r="N1186" s="9">
        <v>2222</v>
      </c>
      <c r="O1186" s="9">
        <v>2144</v>
      </c>
      <c r="P1186" s="9">
        <v>2144</v>
      </c>
      <c r="Q1186" s="9">
        <v>2144</v>
      </c>
    </row>
    <row r="1187" spans="1:17" ht="12.75">
      <c r="A1187" s="3" t="s">
        <v>1148</v>
      </c>
      <c r="B1187" s="11" t="s">
        <v>1149</v>
      </c>
      <c r="C1187" s="36">
        <v>517900</v>
      </c>
      <c r="E1187" s="3" t="s">
        <v>2219</v>
      </c>
      <c r="F1187" s="19">
        <v>96</v>
      </c>
      <c r="G1187" s="19">
        <v>96</v>
      </c>
      <c r="H1187" s="19">
        <v>96</v>
      </c>
      <c r="I1187" s="10">
        <v>0</v>
      </c>
      <c r="J1187" s="10">
        <v>0</v>
      </c>
      <c r="K1187" s="10">
        <v>0</v>
      </c>
      <c r="L1187" s="9">
        <v>0</v>
      </c>
      <c r="O1187" s="9">
        <v>85</v>
      </c>
      <c r="P1187" s="9">
        <v>85</v>
      </c>
      <c r="Q1187" s="9">
        <v>0</v>
      </c>
    </row>
    <row r="1188" spans="1:17" ht="12.75">
      <c r="A1188" s="3" t="s">
        <v>1156</v>
      </c>
      <c r="B1188" s="11" t="s">
        <v>1157</v>
      </c>
      <c r="C1188" s="36">
        <v>519700</v>
      </c>
      <c r="E1188" s="3" t="s">
        <v>696</v>
      </c>
      <c r="F1188" s="19">
        <v>444</v>
      </c>
      <c r="G1188" s="19">
        <v>285.64</v>
      </c>
      <c r="H1188" s="19">
        <v>170</v>
      </c>
      <c r="I1188" s="10">
        <v>90</v>
      </c>
      <c r="J1188" s="10">
        <v>420</v>
      </c>
      <c r="K1188" s="10">
        <v>185</v>
      </c>
      <c r="L1188" s="9">
        <v>230</v>
      </c>
      <c r="M1188" s="9">
        <v>110</v>
      </c>
      <c r="N1188" s="9">
        <v>305</v>
      </c>
      <c r="O1188" s="9">
        <v>360</v>
      </c>
      <c r="P1188" s="9">
        <v>360</v>
      </c>
      <c r="Q1188" s="9">
        <v>360</v>
      </c>
    </row>
    <row r="1189" spans="1:17" ht="12.75">
      <c r="A1189" s="3" t="s">
        <v>1154</v>
      </c>
      <c r="B1189" s="11" t="s">
        <v>1155</v>
      </c>
      <c r="C1189" s="36">
        <v>519900</v>
      </c>
      <c r="E1189" s="3" t="s">
        <v>637</v>
      </c>
      <c r="F1189" s="19">
        <v>800</v>
      </c>
      <c r="G1189" s="19">
        <v>850</v>
      </c>
      <c r="H1189" s="19">
        <v>1275</v>
      </c>
      <c r="I1189" s="10">
        <v>1275</v>
      </c>
      <c r="J1189" s="10">
        <v>1275</v>
      </c>
      <c r="K1189" s="10">
        <v>1275</v>
      </c>
      <c r="L1189" s="9">
        <v>1275</v>
      </c>
      <c r="M1189" s="9">
        <v>1725</v>
      </c>
      <c r="N1189" s="9">
        <v>1725</v>
      </c>
      <c r="O1189" s="9">
        <v>2300</v>
      </c>
      <c r="P1189" s="9">
        <v>2300</v>
      </c>
      <c r="Q1189" s="9">
        <v>2300</v>
      </c>
    </row>
    <row r="1190" spans="5:18" ht="12.75">
      <c r="E1190" s="20" t="s">
        <v>2187</v>
      </c>
      <c r="F1190" s="21">
        <f aca="true" t="shared" si="264" ref="F1190:L1190">SUM(F1180:F1189)</f>
        <v>185284</v>
      </c>
      <c r="G1190" s="21">
        <f t="shared" si="264"/>
        <v>195552.68</v>
      </c>
      <c r="H1190" s="21">
        <f t="shared" si="264"/>
        <v>203330.91</v>
      </c>
      <c r="I1190" s="22">
        <f t="shared" si="264"/>
        <v>217171.13999999998</v>
      </c>
      <c r="J1190" s="22">
        <f t="shared" si="264"/>
        <v>231413.6</v>
      </c>
      <c r="K1190" s="22">
        <f t="shared" si="264"/>
        <v>255583.12</v>
      </c>
      <c r="L1190" s="7">
        <f t="shared" si="264"/>
        <v>273076.08999999997</v>
      </c>
      <c r="M1190" s="7">
        <f aca="true" t="shared" si="265" ref="M1190:R1190">SUM(M1180:M1189)</f>
        <v>275902.13</v>
      </c>
      <c r="N1190" s="7">
        <f t="shared" si="265"/>
        <v>296710.42000000004</v>
      </c>
      <c r="O1190" s="7">
        <f t="shared" si="265"/>
        <v>356811</v>
      </c>
      <c r="P1190" s="7">
        <f t="shared" si="265"/>
        <v>352413</v>
      </c>
      <c r="Q1190" s="7">
        <f t="shared" si="265"/>
        <v>412505</v>
      </c>
      <c r="R1190" s="7">
        <f t="shared" si="265"/>
        <v>0</v>
      </c>
    </row>
    <row r="1191" spans="3:10" ht="12.75">
      <c r="C1191" s="196">
        <v>14912</v>
      </c>
      <c r="D1191" s="196"/>
      <c r="I1191" s="10"/>
      <c r="J1191" s="10"/>
    </row>
    <row r="1192" spans="1:17" ht="12.75">
      <c r="A1192" s="3" t="s">
        <v>1160</v>
      </c>
      <c r="B1192" s="11" t="s">
        <v>1161</v>
      </c>
      <c r="C1192" s="36">
        <v>522800</v>
      </c>
      <c r="E1192" s="3" t="s">
        <v>1162</v>
      </c>
      <c r="F1192" s="19">
        <v>694</v>
      </c>
      <c r="G1192" s="19">
        <v>733.1</v>
      </c>
      <c r="H1192" s="19">
        <v>707.72</v>
      </c>
      <c r="I1192" s="10">
        <v>1133.69</v>
      </c>
      <c r="J1192" s="10">
        <v>813.41</v>
      </c>
      <c r="K1192" s="10">
        <v>1022.98</v>
      </c>
      <c r="L1192" s="9">
        <v>1277.4</v>
      </c>
      <c r="M1192" s="9">
        <v>1179.28</v>
      </c>
      <c r="N1192" s="9">
        <v>1360.87</v>
      </c>
      <c r="O1192" s="9">
        <v>1687</v>
      </c>
      <c r="P1192" s="9">
        <v>1687</v>
      </c>
      <c r="Q1192" s="9">
        <v>1856</v>
      </c>
    </row>
    <row r="1193" spans="1:17" ht="12.75">
      <c r="A1193" s="3" t="s">
        <v>1158</v>
      </c>
      <c r="B1193" s="11" t="s">
        <v>1159</v>
      </c>
      <c r="C1193" s="36">
        <v>522900</v>
      </c>
      <c r="E1193" s="3" t="s">
        <v>2960</v>
      </c>
      <c r="F1193" s="19">
        <v>1263</v>
      </c>
      <c r="G1193" s="19">
        <v>1198.41</v>
      </c>
      <c r="H1193" s="19">
        <v>1313.05</v>
      </c>
      <c r="I1193" s="10">
        <v>1324.21</v>
      </c>
      <c r="J1193" s="8">
        <v>1348.03</v>
      </c>
      <c r="K1193" s="10">
        <v>1410.77</v>
      </c>
      <c r="L1193" s="9">
        <v>1362.09</v>
      </c>
      <c r="M1193" s="9">
        <v>1251.16</v>
      </c>
      <c r="N1193" s="9">
        <v>1421.97</v>
      </c>
      <c r="O1193" s="9">
        <v>1890</v>
      </c>
      <c r="P1193" s="9">
        <v>1890</v>
      </c>
      <c r="Q1193" s="9">
        <v>2363</v>
      </c>
    </row>
    <row r="1194" spans="1:17" ht="12.75">
      <c r="A1194" s="3" t="s">
        <v>1163</v>
      </c>
      <c r="B1194" s="11" t="s">
        <v>1164</v>
      </c>
      <c r="C1194" s="36">
        <v>523100</v>
      </c>
      <c r="E1194" s="3" t="s">
        <v>2963</v>
      </c>
      <c r="F1194" s="19">
        <v>1811</v>
      </c>
      <c r="G1194" s="19">
        <v>1835.75</v>
      </c>
      <c r="H1194" s="19">
        <v>3316.02</v>
      </c>
      <c r="I1194" s="10">
        <v>2750.72</v>
      </c>
      <c r="J1194" s="10">
        <v>5520.6</v>
      </c>
      <c r="K1194" s="10">
        <v>3727.46</v>
      </c>
      <c r="L1194" s="9">
        <v>2303.48</v>
      </c>
      <c r="M1194" s="9">
        <v>2982.13</v>
      </c>
      <c r="N1194" s="9">
        <v>2279.24</v>
      </c>
      <c r="O1194" s="9">
        <v>6020</v>
      </c>
      <c r="P1194" s="9">
        <v>6020</v>
      </c>
      <c r="Q1194" s="9">
        <v>6020</v>
      </c>
    </row>
    <row r="1195" spans="2:14" ht="12.75" hidden="1">
      <c r="B1195" s="11" t="s">
        <v>1165</v>
      </c>
      <c r="E1195" s="3" t="s">
        <v>1166</v>
      </c>
      <c r="F1195" s="19">
        <v>0</v>
      </c>
      <c r="G1195" s="19">
        <v>1525</v>
      </c>
      <c r="H1195" s="19">
        <v>12108.5</v>
      </c>
      <c r="I1195" s="10">
        <v>11864.5</v>
      </c>
      <c r="J1195" s="10">
        <v>11698.05</v>
      </c>
      <c r="K1195" s="10">
        <v>1270.5</v>
      </c>
      <c r="L1195" s="9">
        <v>0</v>
      </c>
      <c r="M1195" s="9">
        <v>0</v>
      </c>
      <c r="N1195" s="9">
        <v>0</v>
      </c>
    </row>
    <row r="1196" spans="1:17" ht="12.75">
      <c r="A1196" s="3" t="s">
        <v>1167</v>
      </c>
      <c r="B1196" s="11" t="s">
        <v>1168</v>
      </c>
      <c r="C1196" s="36">
        <v>524500</v>
      </c>
      <c r="E1196" s="3" t="s">
        <v>1169</v>
      </c>
      <c r="F1196" s="19">
        <v>5489</v>
      </c>
      <c r="G1196" s="19">
        <v>3326.25</v>
      </c>
      <c r="H1196" s="19">
        <v>4313.47</v>
      </c>
      <c r="I1196" s="10">
        <v>4283.45</v>
      </c>
      <c r="J1196" s="10">
        <v>4419.32</v>
      </c>
      <c r="K1196" s="10">
        <v>6692.65</v>
      </c>
      <c r="L1196" s="9">
        <v>6799.78</v>
      </c>
      <c r="M1196" s="9">
        <v>3136.34</v>
      </c>
      <c r="N1196" s="9">
        <v>4193.15</v>
      </c>
      <c r="O1196" s="9">
        <v>4500</v>
      </c>
      <c r="P1196" s="9">
        <v>4500</v>
      </c>
      <c r="Q1196" s="9">
        <v>4500</v>
      </c>
    </row>
    <row r="1197" spans="3:17" ht="12.75">
      <c r="C1197" s="36">
        <v>529700</v>
      </c>
      <c r="E1197" s="3" t="s">
        <v>511</v>
      </c>
      <c r="I1197" s="10"/>
      <c r="J1197" s="10"/>
      <c r="K1197" s="10"/>
      <c r="Q1197" s="9">
        <v>10000</v>
      </c>
    </row>
    <row r="1198" spans="1:17" ht="12.75">
      <c r="A1198" s="3" t="s">
        <v>1170</v>
      </c>
      <c r="B1198" s="11" t="s">
        <v>1171</v>
      </c>
      <c r="C1198" s="36">
        <v>534200</v>
      </c>
      <c r="E1198" s="3" t="s">
        <v>1172</v>
      </c>
      <c r="F1198" s="19">
        <v>1028</v>
      </c>
      <c r="G1198" s="19">
        <v>1275.75</v>
      </c>
      <c r="H1198" s="19">
        <v>1181.86</v>
      </c>
      <c r="I1198" s="10">
        <v>1603.47</v>
      </c>
      <c r="J1198" s="10">
        <v>2207.49</v>
      </c>
      <c r="K1198" s="10">
        <v>2428.21</v>
      </c>
      <c r="L1198" s="9">
        <v>2327.87</v>
      </c>
      <c r="M1198" s="9">
        <v>2744.41</v>
      </c>
      <c r="N1198" s="9">
        <v>2911.25</v>
      </c>
      <c r="O1198" s="9">
        <v>3892</v>
      </c>
      <c r="P1198" s="9">
        <v>3892</v>
      </c>
      <c r="Q1198" s="9">
        <v>4009</v>
      </c>
    </row>
    <row r="1199" spans="1:17" ht="12.75">
      <c r="A1199" s="3" t="s">
        <v>1176</v>
      </c>
      <c r="B1199" s="11" t="s">
        <v>1177</v>
      </c>
      <c r="C1199" s="36">
        <v>542100</v>
      </c>
      <c r="E1199" s="3" t="s">
        <v>2335</v>
      </c>
      <c r="F1199" s="19">
        <v>1614</v>
      </c>
      <c r="G1199" s="19">
        <v>601.92</v>
      </c>
      <c r="H1199" s="19">
        <v>1175.1</v>
      </c>
      <c r="I1199" s="10">
        <v>4473.38</v>
      </c>
      <c r="J1199" s="10">
        <v>831.97</v>
      </c>
      <c r="K1199" s="10">
        <v>3707.89</v>
      </c>
      <c r="L1199" s="9">
        <v>994.7</v>
      </c>
      <c r="M1199" s="9">
        <v>950.43</v>
      </c>
      <c r="N1199" s="9">
        <v>3960.98</v>
      </c>
      <c r="O1199" s="9">
        <v>1000</v>
      </c>
      <c r="P1199" s="9">
        <v>1000</v>
      </c>
      <c r="Q1199" s="9">
        <v>1000</v>
      </c>
    </row>
    <row r="1200" spans="1:17" ht="12.75">
      <c r="A1200" s="3" t="s">
        <v>1173</v>
      </c>
      <c r="B1200" s="11" t="s">
        <v>1174</v>
      </c>
      <c r="C1200" s="36">
        <v>543000</v>
      </c>
      <c r="E1200" s="3" t="s">
        <v>1175</v>
      </c>
      <c r="F1200" s="19">
        <v>1273</v>
      </c>
      <c r="G1200" s="19">
        <v>1359.48</v>
      </c>
      <c r="H1200" s="19">
        <v>1348.63</v>
      </c>
      <c r="I1200" s="10">
        <v>1982.46</v>
      </c>
      <c r="J1200" s="8">
        <v>1544.15</v>
      </c>
      <c r="K1200" s="10">
        <v>1362.03</v>
      </c>
      <c r="L1200" s="9">
        <v>1461.17</v>
      </c>
      <c r="M1200" s="9">
        <v>1733.06</v>
      </c>
      <c r="N1200" s="9">
        <v>2885.33</v>
      </c>
      <c r="O1200" s="9">
        <v>4618</v>
      </c>
      <c r="P1200" s="9">
        <v>4618</v>
      </c>
      <c r="Q1200" s="9">
        <v>5080</v>
      </c>
    </row>
    <row r="1201" spans="1:17" ht="12.75">
      <c r="A1201" s="3" t="s">
        <v>1178</v>
      </c>
      <c r="B1201" s="11" t="s">
        <v>1179</v>
      </c>
      <c r="C1201" s="36">
        <v>543000</v>
      </c>
      <c r="E1201" s="3" t="s">
        <v>1318</v>
      </c>
      <c r="F1201" s="19">
        <v>276</v>
      </c>
      <c r="G1201" s="19">
        <v>301.43</v>
      </c>
      <c r="H1201" s="19">
        <v>299.38</v>
      </c>
      <c r="I1201" s="10">
        <v>304.73</v>
      </c>
      <c r="J1201" s="10">
        <v>300.14</v>
      </c>
      <c r="K1201" s="10">
        <v>294</v>
      </c>
      <c r="L1201" s="9">
        <v>297.19</v>
      </c>
      <c r="M1201" s="9">
        <v>248.82</v>
      </c>
      <c r="N1201" s="9">
        <v>261.67</v>
      </c>
      <c r="O1201" s="9">
        <v>330</v>
      </c>
      <c r="P1201" s="9">
        <v>330</v>
      </c>
      <c r="Q1201" s="9">
        <v>330</v>
      </c>
    </row>
    <row r="1202" spans="1:17" ht="14.25" customHeight="1">
      <c r="A1202" s="3" t="s">
        <v>1180</v>
      </c>
      <c r="B1202" s="11" t="s">
        <v>1181</v>
      </c>
      <c r="C1202" s="36">
        <v>546000</v>
      </c>
      <c r="E1202" s="3" t="s">
        <v>1319</v>
      </c>
      <c r="F1202" s="19">
        <v>16529</v>
      </c>
      <c r="G1202" s="19">
        <v>10432.84</v>
      </c>
      <c r="H1202" s="19">
        <v>11694.47</v>
      </c>
      <c r="I1202" s="10">
        <v>10291.44</v>
      </c>
      <c r="J1202" s="10">
        <v>10704.48</v>
      </c>
      <c r="K1202" s="10">
        <v>10567.68</v>
      </c>
      <c r="L1202" s="9">
        <v>11779.95</v>
      </c>
      <c r="M1202" s="9">
        <v>12033.33</v>
      </c>
      <c r="N1202" s="9">
        <v>12947.2</v>
      </c>
      <c r="O1202" s="9">
        <v>16900</v>
      </c>
      <c r="P1202" s="9">
        <v>16900</v>
      </c>
      <c r="Q1202" s="9">
        <v>16900</v>
      </c>
    </row>
    <row r="1203" spans="1:14" ht="12.75" hidden="1">
      <c r="A1203" s="3" t="s">
        <v>1182</v>
      </c>
      <c r="B1203" s="11" t="s">
        <v>1183</v>
      </c>
      <c r="E1203" s="3" t="s">
        <v>1117</v>
      </c>
      <c r="F1203" s="19">
        <v>323</v>
      </c>
      <c r="G1203" s="19">
        <v>0</v>
      </c>
      <c r="H1203" s="19">
        <v>0</v>
      </c>
      <c r="I1203" s="10">
        <v>0</v>
      </c>
      <c r="J1203" s="10">
        <v>0</v>
      </c>
      <c r="K1203" s="10">
        <v>0</v>
      </c>
      <c r="L1203" s="9">
        <v>0</v>
      </c>
      <c r="M1203" s="9">
        <v>0</v>
      </c>
      <c r="N1203" s="9">
        <v>0</v>
      </c>
    </row>
    <row r="1204" spans="1:17" ht="12.75">
      <c r="A1204" s="3" t="s">
        <v>1191</v>
      </c>
      <c r="B1204" s="11" t="s">
        <v>1192</v>
      </c>
      <c r="C1204" s="36">
        <v>548000</v>
      </c>
      <c r="E1204" s="3" t="s">
        <v>598</v>
      </c>
      <c r="F1204" s="19">
        <v>4085</v>
      </c>
      <c r="G1204" s="19">
        <v>3432.7</v>
      </c>
      <c r="H1204" s="19">
        <v>3504.56</v>
      </c>
      <c r="I1204" s="10">
        <v>3275.2</v>
      </c>
      <c r="J1204" s="10">
        <v>4070.17</v>
      </c>
      <c r="K1204" s="10">
        <v>3040.48</v>
      </c>
      <c r="L1204" s="9">
        <v>3460.16</v>
      </c>
      <c r="M1204" s="9">
        <v>3011.69</v>
      </c>
      <c r="N1204" s="9">
        <v>3959.97</v>
      </c>
      <c r="O1204" s="9">
        <v>3775</v>
      </c>
      <c r="P1204" s="9">
        <v>3775</v>
      </c>
      <c r="Q1204" s="9">
        <v>3775</v>
      </c>
    </row>
    <row r="1205" spans="1:17" ht="12.75">
      <c r="A1205" s="3" t="s">
        <v>1184</v>
      </c>
      <c r="B1205" s="11" t="s">
        <v>1185</v>
      </c>
      <c r="C1205" s="36">
        <v>548900</v>
      </c>
      <c r="E1205" s="3" t="s">
        <v>1118</v>
      </c>
      <c r="F1205" s="19">
        <v>1922</v>
      </c>
      <c r="G1205" s="19">
        <v>1020.01</v>
      </c>
      <c r="H1205" s="19">
        <v>968.2</v>
      </c>
      <c r="I1205" s="10">
        <v>1231.73</v>
      </c>
      <c r="J1205" s="10">
        <v>1433.24</v>
      </c>
      <c r="K1205" s="10">
        <v>1447.67</v>
      </c>
      <c r="L1205" s="9">
        <v>1399.31</v>
      </c>
      <c r="M1205" s="9">
        <v>1806.79</v>
      </c>
      <c r="N1205" s="9">
        <v>2273.18</v>
      </c>
      <c r="O1205" s="9">
        <v>4892</v>
      </c>
      <c r="P1205" s="9">
        <v>4892</v>
      </c>
      <c r="Q1205" s="9">
        <v>5382</v>
      </c>
    </row>
    <row r="1206" spans="1:14" ht="12.75" hidden="1">
      <c r="A1206" s="3" t="s">
        <v>1188</v>
      </c>
      <c r="B1206" s="11" t="s">
        <v>1189</v>
      </c>
      <c r="E1206" s="3" t="s">
        <v>1190</v>
      </c>
      <c r="F1206" s="19">
        <v>195</v>
      </c>
      <c r="G1206" s="19">
        <v>192.73</v>
      </c>
      <c r="H1206" s="19">
        <v>138</v>
      </c>
      <c r="I1206" s="10">
        <v>98.83</v>
      </c>
      <c r="J1206" s="10">
        <v>41.34</v>
      </c>
      <c r="K1206" s="10">
        <v>179.66</v>
      </c>
      <c r="L1206" s="9">
        <v>0</v>
      </c>
      <c r="M1206" s="9">
        <v>0</v>
      </c>
      <c r="N1206" s="9">
        <v>0</v>
      </c>
    </row>
    <row r="1207" spans="1:17" ht="12.75">
      <c r="A1207" s="3" t="s">
        <v>1186</v>
      </c>
      <c r="B1207" s="11" t="s">
        <v>1187</v>
      </c>
      <c r="C1207" s="36">
        <v>548900</v>
      </c>
      <c r="E1207" s="3" t="s">
        <v>845</v>
      </c>
      <c r="F1207" s="19">
        <v>318</v>
      </c>
      <c r="G1207" s="19">
        <v>443.98</v>
      </c>
      <c r="H1207" s="19">
        <v>490.59</v>
      </c>
      <c r="I1207" s="10">
        <v>694.22</v>
      </c>
      <c r="J1207" s="10">
        <v>736.1</v>
      </c>
      <c r="K1207" s="10">
        <v>1084.68</v>
      </c>
      <c r="L1207" s="9">
        <v>1058.64</v>
      </c>
      <c r="M1207" s="9">
        <v>1149.99</v>
      </c>
      <c r="N1207" s="9">
        <v>1945.99</v>
      </c>
      <c r="O1207" s="9">
        <v>3835</v>
      </c>
      <c r="P1207" s="9">
        <v>3835</v>
      </c>
      <c r="Q1207" s="9">
        <v>4219</v>
      </c>
    </row>
    <row r="1208" spans="1:17" ht="12.75">
      <c r="A1208" s="3" t="s">
        <v>1193</v>
      </c>
      <c r="B1208" s="11" t="s">
        <v>1194</v>
      </c>
      <c r="C1208" s="36">
        <v>558200</v>
      </c>
      <c r="E1208" s="3" t="s">
        <v>1195</v>
      </c>
      <c r="F1208" s="19">
        <v>110</v>
      </c>
      <c r="G1208" s="19">
        <v>149.6</v>
      </c>
      <c r="H1208" s="19">
        <v>168.05</v>
      </c>
      <c r="I1208" s="10">
        <v>57</v>
      </c>
      <c r="J1208" s="10">
        <v>110.11</v>
      </c>
      <c r="K1208" s="10">
        <v>149.9</v>
      </c>
      <c r="L1208" s="9">
        <v>142.77</v>
      </c>
      <c r="M1208" s="9">
        <v>118</v>
      </c>
      <c r="N1208" s="9">
        <v>147.9</v>
      </c>
      <c r="O1208" s="9">
        <v>150</v>
      </c>
      <c r="P1208" s="9">
        <v>150</v>
      </c>
      <c r="Q1208" s="9">
        <v>150</v>
      </c>
    </row>
    <row r="1209" spans="1:17" ht="12.75">
      <c r="A1209" s="3" t="s">
        <v>1198</v>
      </c>
      <c r="B1209" s="11" t="s">
        <v>1199</v>
      </c>
      <c r="C1209" s="36">
        <v>573000</v>
      </c>
      <c r="E1209" s="3" t="s">
        <v>1200</v>
      </c>
      <c r="F1209" s="19">
        <v>60</v>
      </c>
      <c r="G1209" s="19">
        <v>99</v>
      </c>
      <c r="H1209" s="19">
        <v>60</v>
      </c>
      <c r="I1209" s="10">
        <v>99</v>
      </c>
      <c r="J1209" s="10">
        <v>60</v>
      </c>
      <c r="K1209" s="10">
        <v>65</v>
      </c>
      <c r="L1209" s="9">
        <v>55</v>
      </c>
      <c r="M1209" s="9">
        <v>55</v>
      </c>
      <c r="N1209" s="9">
        <v>75</v>
      </c>
      <c r="O1209" s="9">
        <v>80</v>
      </c>
      <c r="P1209" s="9">
        <v>80</v>
      </c>
      <c r="Q1209" s="9">
        <v>80</v>
      </c>
    </row>
    <row r="1210" spans="1:18" ht="12.75" hidden="1">
      <c r="A1210" s="3" t="s">
        <v>1196</v>
      </c>
      <c r="B1210" s="11" t="s">
        <v>1197</v>
      </c>
      <c r="E1210" s="3" t="s">
        <v>2350</v>
      </c>
      <c r="F1210" s="19">
        <v>1200</v>
      </c>
      <c r="G1210" s="19">
        <v>1200</v>
      </c>
      <c r="H1210" s="19">
        <v>1200</v>
      </c>
      <c r="I1210" s="10">
        <v>1200</v>
      </c>
      <c r="J1210" s="8">
        <v>1200</v>
      </c>
      <c r="K1210" s="10">
        <v>1200</v>
      </c>
      <c r="L1210" s="9">
        <f aca="true" t="shared" si="266" ref="L1210:R1210">1200-1200</f>
        <v>0</v>
      </c>
      <c r="M1210" s="9">
        <f t="shared" si="266"/>
        <v>0</v>
      </c>
      <c r="N1210" s="9">
        <f t="shared" si="266"/>
        <v>0</v>
      </c>
      <c r="O1210" s="9">
        <f t="shared" si="266"/>
        <v>0</v>
      </c>
      <c r="P1210" s="9">
        <f t="shared" si="266"/>
        <v>0</v>
      </c>
      <c r="Q1210" s="9">
        <f t="shared" si="266"/>
        <v>0</v>
      </c>
      <c r="R1210" s="9">
        <f t="shared" si="266"/>
        <v>0</v>
      </c>
    </row>
    <row r="1211" spans="5:18" ht="12.75">
      <c r="E1211" s="20" t="s">
        <v>2274</v>
      </c>
      <c r="F1211" s="21">
        <f aca="true" t="shared" si="267" ref="F1211:K1211">SUM(F1209:F1210)</f>
        <v>1260</v>
      </c>
      <c r="G1211" s="21">
        <f t="shared" si="267"/>
        <v>1299</v>
      </c>
      <c r="H1211" s="21">
        <f t="shared" si="267"/>
        <v>1260</v>
      </c>
      <c r="I1211" s="22">
        <f t="shared" si="267"/>
        <v>1299</v>
      </c>
      <c r="J1211" s="22">
        <f t="shared" si="267"/>
        <v>1260</v>
      </c>
      <c r="K1211" s="22">
        <f t="shared" si="267"/>
        <v>1265</v>
      </c>
      <c r="L1211" s="7">
        <f>SUM(L1192:L1210)</f>
        <v>34719.509999999995</v>
      </c>
      <c r="M1211" s="7">
        <f aca="true" t="shared" si="268" ref="M1211:R1211">SUM(M1192:M1210)</f>
        <v>32400.43</v>
      </c>
      <c r="N1211" s="7">
        <f t="shared" si="268"/>
        <v>40623.7</v>
      </c>
      <c r="O1211" s="7">
        <f t="shared" si="268"/>
        <v>53569</v>
      </c>
      <c r="P1211" s="7">
        <f t="shared" si="268"/>
        <v>53569</v>
      </c>
      <c r="Q1211" s="7">
        <f t="shared" si="268"/>
        <v>65664</v>
      </c>
      <c r="R1211" s="7">
        <f t="shared" si="268"/>
        <v>0</v>
      </c>
    </row>
    <row r="1212" spans="3:10" ht="12.75">
      <c r="C1212" s="196">
        <v>14913</v>
      </c>
      <c r="I1212" s="10"/>
      <c r="J1212" s="10"/>
    </row>
    <row r="1213" spans="1:10" ht="12.75" hidden="1">
      <c r="A1213" s="3" t="s">
        <v>1201</v>
      </c>
      <c r="B1213" s="11" t="s">
        <v>1202</v>
      </c>
      <c r="E1213" s="3" t="s">
        <v>1203</v>
      </c>
      <c r="F1213" s="19">
        <v>0</v>
      </c>
      <c r="G1213" s="19">
        <v>0</v>
      </c>
      <c r="H1213" s="19">
        <v>0</v>
      </c>
      <c r="I1213" s="10">
        <v>0</v>
      </c>
      <c r="J1213" s="8">
        <v>0</v>
      </c>
    </row>
    <row r="1214" spans="2:18" ht="12.75" hidden="1">
      <c r="B1214" s="36">
        <v>6435</v>
      </c>
      <c r="E1214" s="3" t="s">
        <v>2810</v>
      </c>
      <c r="I1214" s="10">
        <v>6236.1</v>
      </c>
      <c r="J1214" s="8"/>
      <c r="K1214" s="8">
        <v>0</v>
      </c>
      <c r="L1214" s="9">
        <v>0</v>
      </c>
      <c r="N1214" s="9">
        <v>0</v>
      </c>
      <c r="O1214" s="9">
        <v>0</v>
      </c>
      <c r="P1214" s="9">
        <v>0</v>
      </c>
      <c r="Q1214" s="9">
        <v>0</v>
      </c>
      <c r="R1214" s="9">
        <v>0</v>
      </c>
    </row>
    <row r="1215" spans="1:18" ht="12.75" hidden="1">
      <c r="A1215" s="3" t="s">
        <v>1204</v>
      </c>
      <c r="B1215" s="11">
        <v>6435.1</v>
      </c>
      <c r="E1215" s="3" t="s">
        <v>1205</v>
      </c>
      <c r="F1215" s="19">
        <v>0</v>
      </c>
      <c r="G1215" s="19">
        <v>0</v>
      </c>
      <c r="H1215" s="19">
        <v>1800</v>
      </c>
      <c r="I1215" s="10">
        <v>0</v>
      </c>
      <c r="J1215" s="10">
        <v>0</v>
      </c>
      <c r="K1215" s="10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v>0</v>
      </c>
      <c r="R1215" s="9">
        <v>0</v>
      </c>
    </row>
    <row r="1216" spans="5:17" ht="12.75">
      <c r="E1216" s="3" t="s">
        <v>514</v>
      </c>
      <c r="I1216" s="10"/>
      <c r="J1216" s="10"/>
      <c r="K1216" s="10"/>
      <c r="Q1216" s="9">
        <v>28000</v>
      </c>
    </row>
    <row r="1217" spans="5:18" ht="12.75">
      <c r="E1217" s="20" t="s">
        <v>2277</v>
      </c>
      <c r="F1217" s="25">
        <f aca="true" t="shared" si="269" ref="F1217:L1217">SUM(F1213:F1215)</f>
        <v>0</v>
      </c>
      <c r="G1217" s="25">
        <f t="shared" si="269"/>
        <v>0</v>
      </c>
      <c r="H1217" s="25">
        <f t="shared" si="269"/>
        <v>1800</v>
      </c>
      <c r="I1217" s="23">
        <f t="shared" si="269"/>
        <v>6236.1</v>
      </c>
      <c r="J1217" s="23">
        <f t="shared" si="269"/>
        <v>0</v>
      </c>
      <c r="K1217" s="23">
        <f t="shared" si="269"/>
        <v>0</v>
      </c>
      <c r="L1217" s="7">
        <f t="shared" si="269"/>
        <v>0</v>
      </c>
      <c r="M1217" s="7">
        <f aca="true" t="shared" si="270" ref="M1217:R1217">SUM(M1213:M1215)</f>
        <v>0</v>
      </c>
      <c r="N1217" s="7">
        <f t="shared" si="270"/>
        <v>0</v>
      </c>
      <c r="O1217" s="7">
        <f t="shared" si="270"/>
        <v>0</v>
      </c>
      <c r="P1217" s="7">
        <f t="shared" si="270"/>
        <v>0</v>
      </c>
      <c r="Q1217" s="7">
        <f>SUM(Q1214:Q1216)</f>
        <v>28000</v>
      </c>
      <c r="R1217" s="7">
        <f t="shared" si="270"/>
        <v>0</v>
      </c>
    </row>
    <row r="1218" spans="9:10" ht="5.25" customHeight="1">
      <c r="I1218" s="10"/>
      <c r="J1218" s="10"/>
    </row>
    <row r="1219" spans="5:18" ht="12.75">
      <c r="E1219" s="2" t="s">
        <v>1206</v>
      </c>
      <c r="F1219" s="31">
        <f aca="true" t="shared" si="271" ref="F1219:K1219">SUM(F1180:F1217)/2</f>
        <v>205009</v>
      </c>
      <c r="G1219" s="31">
        <f t="shared" si="271"/>
        <v>210766.15499999994</v>
      </c>
      <c r="H1219" s="31">
        <f t="shared" si="271"/>
        <v>227754.70999999996</v>
      </c>
      <c r="I1219" s="28">
        <f t="shared" si="271"/>
        <v>247390.75499999995</v>
      </c>
      <c r="J1219" s="28">
        <f t="shared" si="271"/>
        <v>255562.89999999997</v>
      </c>
      <c r="K1219" s="28">
        <f t="shared" si="271"/>
        <v>276041.4000000001</v>
      </c>
      <c r="L1219" s="32">
        <f>SUM(L1180:L1217)/2</f>
        <v>307795.6</v>
      </c>
      <c r="M1219" s="32">
        <f aca="true" t="shared" si="272" ref="M1219:R1219">SUM(M1180:M1217)/2</f>
        <v>308302.56000000006</v>
      </c>
      <c r="N1219" s="32">
        <f t="shared" si="272"/>
        <v>337334.12</v>
      </c>
      <c r="O1219" s="32">
        <f>SUM(O1217+O1211+O1190)</f>
        <v>410380</v>
      </c>
      <c r="P1219" s="32">
        <f>SUM(P1217+P1211+P1190)</f>
        <v>405982</v>
      </c>
      <c r="Q1219" s="32">
        <f>SUM(Q1217+Q1211+Q1190)</f>
        <v>506169</v>
      </c>
      <c r="R1219" s="32">
        <f t="shared" si="272"/>
        <v>0</v>
      </c>
    </row>
    <row r="1220" spans="5:18" ht="12.75">
      <c r="E1220" s="4"/>
      <c r="F1220" s="5"/>
      <c r="G1220" s="5"/>
      <c r="H1220" s="5"/>
      <c r="I1220" s="6"/>
      <c r="J1220" s="23"/>
      <c r="K1220" s="23"/>
      <c r="L1220" s="7"/>
      <c r="M1220" s="7"/>
      <c r="N1220" s="7"/>
      <c r="O1220" s="7"/>
      <c r="P1220" s="7"/>
      <c r="Q1220" s="7"/>
      <c r="R1220" s="7"/>
    </row>
    <row r="1221" spans="1:9" ht="12.75">
      <c r="A1221" s="38" t="s">
        <v>2180</v>
      </c>
      <c r="B1221" s="15"/>
      <c r="C1221" s="39"/>
      <c r="D1221" s="39"/>
      <c r="E1221" s="163" t="s">
        <v>2366</v>
      </c>
      <c r="I1221" s="10"/>
    </row>
    <row r="1222" spans="3:9" ht="12.75">
      <c r="C1222" s="196">
        <v>11921</v>
      </c>
      <c r="D1222" s="196"/>
      <c r="I1222" s="10"/>
    </row>
    <row r="1223" spans="1:17" ht="12.75">
      <c r="A1223" s="3" t="s">
        <v>971</v>
      </c>
      <c r="B1223" s="11" t="s">
        <v>972</v>
      </c>
      <c r="C1223" s="36">
        <v>511000</v>
      </c>
      <c r="E1223" s="3" t="s">
        <v>617</v>
      </c>
      <c r="F1223" s="19">
        <v>184609</v>
      </c>
      <c r="G1223" s="19">
        <v>203981.14</v>
      </c>
      <c r="H1223" s="19">
        <v>256688.72</v>
      </c>
      <c r="I1223" s="10">
        <v>154134.93</v>
      </c>
      <c r="J1223" s="9">
        <v>174354.93</v>
      </c>
      <c r="K1223" s="8">
        <v>176496.2</v>
      </c>
      <c r="L1223" s="9">
        <v>131065.77</v>
      </c>
      <c r="M1223" s="9">
        <v>138076.18</v>
      </c>
      <c r="N1223" s="9">
        <v>146550.87</v>
      </c>
      <c r="O1223" s="9">
        <f>172344-21144</f>
        <v>151200</v>
      </c>
      <c r="P1223" s="9">
        <v>151699</v>
      </c>
      <c r="Q1223" s="9">
        <v>147958</v>
      </c>
    </row>
    <row r="1224" spans="1:17" ht="12.75">
      <c r="A1224" s="3" t="s">
        <v>973</v>
      </c>
      <c r="B1224" s="11" t="s">
        <v>974</v>
      </c>
      <c r="C1224" s="36">
        <v>511100</v>
      </c>
      <c r="E1224" s="3" t="s">
        <v>408</v>
      </c>
      <c r="F1224" s="19">
        <v>11844</v>
      </c>
      <c r="G1224" s="19">
        <v>17410.8</v>
      </c>
      <c r="H1224" s="19">
        <v>28797.39</v>
      </c>
      <c r="I1224" s="10">
        <v>14788.14</v>
      </c>
      <c r="J1224" s="9">
        <v>26428.23</v>
      </c>
      <c r="K1224" s="8">
        <v>31841.65</v>
      </c>
      <c r="L1224" s="9">
        <v>34886.35</v>
      </c>
      <c r="M1224" s="9">
        <v>37994.58</v>
      </c>
      <c r="N1224" s="9">
        <v>35353.97</v>
      </c>
      <c r="O1224" s="9">
        <v>44507</v>
      </c>
      <c r="P1224" s="9">
        <v>38358</v>
      </c>
      <c r="Q1224" s="9">
        <v>38711</v>
      </c>
    </row>
    <row r="1225" spans="1:17" ht="12.75">
      <c r="A1225" s="3" t="s">
        <v>975</v>
      </c>
      <c r="B1225" s="11" t="s">
        <v>976</v>
      </c>
      <c r="C1225" s="36">
        <v>513000</v>
      </c>
      <c r="E1225" s="3" t="s">
        <v>2186</v>
      </c>
      <c r="F1225" s="19">
        <v>18656</v>
      </c>
      <c r="G1225" s="19">
        <v>28397.5</v>
      </c>
      <c r="H1225" s="19">
        <v>29212.56</v>
      </c>
      <c r="I1225" s="10">
        <v>8924.55</v>
      </c>
      <c r="J1225" s="10">
        <v>3684.46</v>
      </c>
      <c r="K1225" s="8">
        <v>5402.48</v>
      </c>
      <c r="L1225" s="9">
        <v>3059.76</v>
      </c>
      <c r="M1225" s="9">
        <v>5619.34</v>
      </c>
      <c r="N1225" s="9">
        <v>3670.37</v>
      </c>
      <c r="O1225" s="9">
        <v>5500</v>
      </c>
      <c r="P1225" s="9">
        <v>4000</v>
      </c>
      <c r="Q1225" s="9">
        <v>5000</v>
      </c>
    </row>
    <row r="1226" spans="1:17" ht="12.75">
      <c r="A1226" s="3" t="s">
        <v>977</v>
      </c>
      <c r="B1226" s="11" t="s">
        <v>978</v>
      </c>
      <c r="C1226" s="36">
        <v>514800</v>
      </c>
      <c r="E1226" s="3" t="s">
        <v>2288</v>
      </c>
      <c r="F1226" s="19">
        <v>1688</v>
      </c>
      <c r="G1226" s="19">
        <v>1233.36</v>
      </c>
      <c r="H1226" s="19">
        <v>1575</v>
      </c>
      <c r="I1226" s="10">
        <v>0</v>
      </c>
      <c r="J1226" s="10">
        <v>0</v>
      </c>
      <c r="K1226" s="8">
        <v>674.5</v>
      </c>
      <c r="L1226" s="9">
        <v>225</v>
      </c>
      <c r="M1226" s="9">
        <v>112.5</v>
      </c>
      <c r="N1226" s="9">
        <v>112.5</v>
      </c>
      <c r="O1226" s="9">
        <v>500</v>
      </c>
      <c r="P1226" s="9">
        <v>500</v>
      </c>
      <c r="Q1226" s="9">
        <v>500</v>
      </c>
    </row>
    <row r="1227" spans="1:17" ht="12.75">
      <c r="A1227" s="3" t="s">
        <v>983</v>
      </c>
      <c r="B1227" s="11" t="s">
        <v>984</v>
      </c>
      <c r="C1227" s="36">
        <v>517000</v>
      </c>
      <c r="E1227" s="3" t="s">
        <v>2222</v>
      </c>
      <c r="F1227" s="19">
        <v>28326</v>
      </c>
      <c r="G1227" s="19">
        <v>25368</v>
      </c>
      <c r="H1227" s="19">
        <v>18201</v>
      </c>
      <c r="I1227" s="10">
        <v>32109</v>
      </c>
      <c r="J1227" s="10">
        <v>48999</v>
      </c>
      <c r="K1227" s="8">
        <v>68636</v>
      </c>
      <c r="L1227" s="9">
        <f>33604-11201</f>
        <v>22403</v>
      </c>
      <c r="M1227" s="9">
        <v>21979.18</v>
      </c>
      <c r="N1227" s="9">
        <v>17765</v>
      </c>
      <c r="O1227" s="9">
        <v>20046</v>
      </c>
      <c r="P1227" s="9">
        <v>20046</v>
      </c>
      <c r="Q1227" s="9">
        <v>5770</v>
      </c>
    </row>
    <row r="1228" spans="1:12" ht="12.75" hidden="1">
      <c r="A1228" s="3" t="s">
        <v>981</v>
      </c>
      <c r="B1228" s="11" t="s">
        <v>982</v>
      </c>
      <c r="E1228" s="3" t="s">
        <v>2219</v>
      </c>
      <c r="F1228" s="19">
        <v>96</v>
      </c>
      <c r="G1228" s="19">
        <v>96</v>
      </c>
      <c r="H1228" s="19">
        <v>96</v>
      </c>
      <c r="I1228" s="10">
        <v>0</v>
      </c>
      <c r="J1228" s="10">
        <v>0</v>
      </c>
      <c r="K1228" s="8">
        <v>0</v>
      </c>
      <c r="L1228" s="9">
        <v>0</v>
      </c>
    </row>
    <row r="1229" spans="1:17" ht="12.75">
      <c r="A1229" s="3" t="s">
        <v>979</v>
      </c>
      <c r="B1229" s="11" t="s">
        <v>980</v>
      </c>
      <c r="C1229" s="36">
        <v>517200</v>
      </c>
      <c r="E1229" s="3" t="s">
        <v>2216</v>
      </c>
      <c r="F1229" s="19">
        <v>5136</v>
      </c>
      <c r="G1229" s="19">
        <v>3852</v>
      </c>
      <c r="H1229" s="19">
        <v>3852</v>
      </c>
      <c r="I1229" s="10">
        <v>3852</v>
      </c>
      <c r="J1229" s="10">
        <v>3852</v>
      </c>
      <c r="K1229" s="8">
        <v>3852</v>
      </c>
      <c r="L1229" s="9">
        <v>3852</v>
      </c>
      <c r="M1229" s="9">
        <v>1652</v>
      </c>
      <c r="N1229" s="9">
        <v>1272</v>
      </c>
      <c r="O1229" s="9">
        <v>1521</v>
      </c>
      <c r="P1229" s="9">
        <v>1521</v>
      </c>
      <c r="Q1229" s="9">
        <v>1597</v>
      </c>
    </row>
    <row r="1230" spans="1:17" ht="12.75">
      <c r="A1230" s="3" t="s">
        <v>1071</v>
      </c>
      <c r="B1230" s="11" t="s">
        <v>1072</v>
      </c>
      <c r="C1230" s="36">
        <v>517800</v>
      </c>
      <c r="E1230" s="3" t="s">
        <v>2298</v>
      </c>
      <c r="F1230" s="19">
        <v>1020</v>
      </c>
      <c r="G1230" s="19">
        <v>459</v>
      </c>
      <c r="H1230" s="19">
        <v>502</v>
      </c>
      <c r="I1230" s="10">
        <v>2270</v>
      </c>
      <c r="J1230" s="10">
        <v>3670</v>
      </c>
      <c r="K1230" s="8">
        <v>4510</v>
      </c>
      <c r="L1230" s="9">
        <v>4510</v>
      </c>
      <c r="M1230" s="9">
        <v>2428</v>
      </c>
      <c r="N1230" s="9">
        <v>2110</v>
      </c>
      <c r="O1230" s="9">
        <v>2324</v>
      </c>
      <c r="P1230" s="9">
        <v>2324</v>
      </c>
      <c r="Q1230" s="9">
        <v>2569</v>
      </c>
    </row>
    <row r="1231" spans="1:17" ht="12.75">
      <c r="A1231" s="3" t="s">
        <v>1073</v>
      </c>
      <c r="B1231" s="11" t="s">
        <v>1074</v>
      </c>
      <c r="C1231" s="36">
        <v>519900</v>
      </c>
      <c r="E1231" s="3" t="s">
        <v>637</v>
      </c>
      <c r="F1231" s="19">
        <v>2350</v>
      </c>
      <c r="G1231" s="19">
        <v>2500</v>
      </c>
      <c r="H1231" s="19">
        <v>1770.84</v>
      </c>
      <c r="I1231" s="10">
        <v>2125</v>
      </c>
      <c r="J1231" s="10">
        <v>850</v>
      </c>
      <c r="K1231" s="8">
        <v>2563.97</v>
      </c>
      <c r="L1231" s="9">
        <v>940.52</v>
      </c>
      <c r="M1231" s="9">
        <v>850</v>
      </c>
      <c r="N1231" s="9">
        <v>1150</v>
      </c>
      <c r="O1231" s="9">
        <v>1725</v>
      </c>
      <c r="P1231" s="9">
        <v>1150</v>
      </c>
      <c r="Q1231" s="9">
        <v>1150</v>
      </c>
    </row>
    <row r="1232" spans="5:18" ht="12.75">
      <c r="E1232" s="20" t="s">
        <v>2187</v>
      </c>
      <c r="F1232" s="21">
        <f aca="true" t="shared" si="273" ref="F1232:L1232">SUM(F1223:F1231)</f>
        <v>253725</v>
      </c>
      <c r="G1232" s="21">
        <f t="shared" si="273"/>
        <v>283297.8</v>
      </c>
      <c r="H1232" s="21">
        <f t="shared" si="273"/>
        <v>340695.51</v>
      </c>
      <c r="I1232" s="22">
        <f t="shared" si="273"/>
        <v>218203.62</v>
      </c>
      <c r="J1232" s="23">
        <f t="shared" si="273"/>
        <v>261838.62</v>
      </c>
      <c r="K1232" s="23">
        <f t="shared" si="273"/>
        <v>293976.8</v>
      </c>
      <c r="L1232" s="7">
        <f t="shared" si="273"/>
        <v>200942.4</v>
      </c>
      <c r="M1232" s="7">
        <f aca="true" t="shared" si="274" ref="M1232:R1232">SUM(M1223:M1231)</f>
        <v>208711.78</v>
      </c>
      <c r="N1232" s="7">
        <f t="shared" si="274"/>
        <v>207984.71</v>
      </c>
      <c r="O1232" s="7">
        <f t="shared" si="274"/>
        <v>227323</v>
      </c>
      <c r="P1232" s="7">
        <f t="shared" si="274"/>
        <v>219598</v>
      </c>
      <c r="Q1232" s="7">
        <f t="shared" si="274"/>
        <v>203255</v>
      </c>
      <c r="R1232" s="7">
        <f t="shared" si="274"/>
        <v>0</v>
      </c>
    </row>
    <row r="1233" spans="3:10" ht="12.75">
      <c r="C1233" s="196">
        <v>11922</v>
      </c>
      <c r="D1233" s="196"/>
      <c r="I1233" s="10"/>
      <c r="J1233" s="10"/>
    </row>
    <row r="1234" spans="1:17" ht="12.75">
      <c r="A1234" s="3" t="s">
        <v>1097</v>
      </c>
      <c r="B1234" s="11" t="s">
        <v>1098</v>
      </c>
      <c r="C1234" s="36">
        <v>522700</v>
      </c>
      <c r="D1234" s="36" t="s">
        <v>2511</v>
      </c>
      <c r="E1234" s="3" t="s">
        <v>1998</v>
      </c>
      <c r="F1234" s="19">
        <v>9720</v>
      </c>
      <c r="G1234" s="19">
        <v>8366.23</v>
      </c>
      <c r="H1234" s="19">
        <v>7411.94</v>
      </c>
      <c r="I1234" s="10">
        <v>45636.75</v>
      </c>
      <c r="J1234" s="10">
        <v>45025.82</v>
      </c>
      <c r="K1234" s="10">
        <v>74020.21</v>
      </c>
      <c r="L1234" s="9">
        <v>65666.39</v>
      </c>
      <c r="M1234" s="9">
        <v>83182.62</v>
      </c>
      <c r="N1234" s="9">
        <v>102071.75</v>
      </c>
      <c r="O1234" s="9">
        <f>104000+10600</f>
        <v>114600</v>
      </c>
      <c r="P1234" s="9">
        <v>80000</v>
      </c>
      <c r="Q1234" s="9">
        <v>85885</v>
      </c>
    </row>
    <row r="1235" spans="2:20" ht="12.75" hidden="1">
      <c r="B1235" s="49" t="s">
        <v>1076</v>
      </c>
      <c r="C1235" s="49"/>
      <c r="D1235" s="49"/>
      <c r="E1235" s="3" t="s">
        <v>1077</v>
      </c>
      <c r="F1235" s="19">
        <v>0</v>
      </c>
      <c r="G1235" s="19">
        <v>2387.78</v>
      </c>
      <c r="I1235" s="10">
        <v>0</v>
      </c>
      <c r="J1235" s="9">
        <v>0</v>
      </c>
      <c r="S1235" s="214"/>
      <c r="T1235" s="175"/>
    </row>
    <row r="1236" spans="2:20" ht="12.75" hidden="1">
      <c r="B1236" s="36" t="s">
        <v>1078</v>
      </c>
      <c r="E1236" s="3" t="s">
        <v>286</v>
      </c>
      <c r="F1236" s="19">
        <v>13350</v>
      </c>
      <c r="G1236" s="19">
        <v>10197.3</v>
      </c>
      <c r="I1236" s="10">
        <v>23299.45</v>
      </c>
      <c r="J1236" s="10">
        <v>0</v>
      </c>
      <c r="S1236" s="214"/>
      <c r="T1236" s="175"/>
    </row>
    <row r="1237" spans="2:20" ht="12.75" hidden="1">
      <c r="B1237" s="36" t="s">
        <v>1079</v>
      </c>
      <c r="E1237" s="3" t="s">
        <v>1080</v>
      </c>
      <c r="F1237" s="19">
        <v>24984</v>
      </c>
      <c r="G1237" s="19">
        <v>22871.68</v>
      </c>
      <c r="I1237" s="10"/>
      <c r="J1237" s="10">
        <v>0</v>
      </c>
      <c r="S1237" s="214"/>
      <c r="T1237" s="175"/>
    </row>
    <row r="1238" spans="2:17" ht="12.75">
      <c r="B1238" s="50">
        <v>6402.5</v>
      </c>
      <c r="C1238" s="49">
        <v>522800</v>
      </c>
      <c r="D1238" s="36" t="s">
        <v>2180</v>
      </c>
      <c r="E1238" s="3" t="s">
        <v>1105</v>
      </c>
      <c r="I1238" s="10"/>
      <c r="J1238" s="10"/>
      <c r="P1238" s="9">
        <v>42000</v>
      </c>
      <c r="Q1238" s="9">
        <v>46855</v>
      </c>
    </row>
    <row r="1239" spans="2:20" ht="12.75" hidden="1">
      <c r="B1239" s="36" t="s">
        <v>1082</v>
      </c>
      <c r="E1239" s="3" t="s">
        <v>726</v>
      </c>
      <c r="F1239" s="19">
        <v>6500</v>
      </c>
      <c r="G1239" s="19">
        <v>11339.6</v>
      </c>
      <c r="I1239" s="10">
        <v>8607.49</v>
      </c>
      <c r="J1239" s="10">
        <v>0</v>
      </c>
      <c r="S1239" s="214"/>
      <c r="T1239" s="175"/>
    </row>
    <row r="1240" spans="2:20" ht="12.75" hidden="1">
      <c r="B1240" s="36" t="s">
        <v>1083</v>
      </c>
      <c r="E1240" s="3" t="s">
        <v>1084</v>
      </c>
      <c r="F1240" s="19">
        <v>773</v>
      </c>
      <c r="G1240" s="19">
        <v>1051.25</v>
      </c>
      <c r="I1240" s="10"/>
      <c r="J1240" s="10">
        <v>0</v>
      </c>
      <c r="S1240" s="214"/>
      <c r="T1240" s="175"/>
    </row>
    <row r="1241" spans="1:20" ht="12.75">
      <c r="A1241" s="3" t="s">
        <v>1075</v>
      </c>
      <c r="B1241" s="36">
        <v>6399</v>
      </c>
      <c r="C1241" s="36">
        <v>522900</v>
      </c>
      <c r="D1241" s="36" t="s">
        <v>2511</v>
      </c>
      <c r="E1241" s="3" t="s">
        <v>2960</v>
      </c>
      <c r="F1241" s="19">
        <v>13245</v>
      </c>
      <c r="G1241" s="19">
        <v>11246.02</v>
      </c>
      <c r="H1241" s="19">
        <v>19900.25</v>
      </c>
      <c r="I1241" s="10">
        <v>0</v>
      </c>
      <c r="J1241" s="10">
        <f>39988.34+5331.28</f>
        <v>45319.619999999995</v>
      </c>
      <c r="K1241" s="8">
        <v>68347.08</v>
      </c>
      <c r="L1241" s="9">
        <v>65153.26</v>
      </c>
      <c r="M1241" s="9">
        <v>57866.63</v>
      </c>
      <c r="N1241" s="9">
        <v>90079.79</v>
      </c>
      <c r="O1241" s="9">
        <f>133000+5000</f>
        <v>138000</v>
      </c>
      <c r="P1241" s="9">
        <v>115000</v>
      </c>
      <c r="Q1241" s="9">
        <v>200500</v>
      </c>
      <c r="S1241" s="214"/>
      <c r="T1241" s="175"/>
    </row>
    <row r="1242" spans="1:20" ht="12.75">
      <c r="A1242" s="3" t="s">
        <v>1081</v>
      </c>
      <c r="B1242" s="36">
        <v>6888</v>
      </c>
      <c r="C1242" s="36">
        <v>523100</v>
      </c>
      <c r="D1242" s="36" t="s">
        <v>2512</v>
      </c>
      <c r="E1242" s="3" t="s">
        <v>2963</v>
      </c>
      <c r="F1242" s="19">
        <v>3830</v>
      </c>
      <c r="G1242" s="19">
        <v>1686.42</v>
      </c>
      <c r="H1242" s="19">
        <v>7833.09</v>
      </c>
      <c r="I1242" s="10">
        <v>-208.98</v>
      </c>
      <c r="J1242" s="10">
        <v>8156.5</v>
      </c>
      <c r="K1242" s="8">
        <f>13423.1-795.88</f>
        <v>12627.220000000001</v>
      </c>
      <c r="L1242" s="9">
        <v>10144.6</v>
      </c>
      <c r="M1242" s="9">
        <v>11094.82</v>
      </c>
      <c r="N1242" s="9">
        <v>11489.38</v>
      </c>
      <c r="O1242" s="9">
        <f>22000+2600</f>
        <v>24600</v>
      </c>
      <c r="P1242" s="9">
        <v>14000</v>
      </c>
      <c r="Q1242" s="9">
        <v>15000</v>
      </c>
      <c r="S1242" s="214"/>
      <c r="T1242" s="175"/>
    </row>
    <row r="1243" spans="1:17" ht="12.75">
      <c r="A1243" s="3" t="s">
        <v>1091</v>
      </c>
      <c r="B1243" s="36">
        <v>6401</v>
      </c>
      <c r="C1243" s="36">
        <v>524300</v>
      </c>
      <c r="D1243" s="36" t="s">
        <v>2512</v>
      </c>
      <c r="E1243" s="3" t="s">
        <v>1092</v>
      </c>
      <c r="F1243" s="19">
        <v>112052</v>
      </c>
      <c r="G1243" s="19">
        <v>30318.04</v>
      </c>
      <c r="H1243" s="19">
        <v>44997.13</v>
      </c>
      <c r="I1243" s="10">
        <v>93485.37</v>
      </c>
      <c r="J1243" s="10">
        <v>54229.15</v>
      </c>
      <c r="K1243" s="8">
        <v>70585.04</v>
      </c>
      <c r="L1243" s="9">
        <v>46108.44</v>
      </c>
      <c r="M1243" s="9">
        <v>53989.72</v>
      </c>
      <c r="N1243" s="9">
        <v>52839.23</v>
      </c>
      <c r="O1243" s="9">
        <f>64000+1500+2000+5512</f>
        <v>73012</v>
      </c>
      <c r="P1243" s="9">
        <v>73000</v>
      </c>
      <c r="Q1243" s="9">
        <v>80000</v>
      </c>
    </row>
    <row r="1244" spans="2:20" ht="12.75" hidden="1">
      <c r="B1244" s="11" t="s">
        <v>1089</v>
      </c>
      <c r="E1244" s="3" t="s">
        <v>1090</v>
      </c>
      <c r="F1244" s="19">
        <v>1502</v>
      </c>
      <c r="G1244" s="19">
        <v>3740.89</v>
      </c>
      <c r="I1244" s="10"/>
      <c r="J1244" s="10">
        <v>0</v>
      </c>
      <c r="L1244" s="9">
        <v>0</v>
      </c>
      <c r="M1244" s="9">
        <v>0</v>
      </c>
      <c r="N1244" s="9">
        <v>0</v>
      </c>
      <c r="S1244" s="215"/>
      <c r="T1244" s="177"/>
    </row>
    <row r="1245" spans="2:17" ht="12.75">
      <c r="B1245" s="50" t="s">
        <v>1094</v>
      </c>
      <c r="C1245" s="49">
        <v>527200</v>
      </c>
      <c r="D1245" s="49"/>
      <c r="E1245" s="3" t="s">
        <v>1095</v>
      </c>
      <c r="I1245" s="10">
        <v>8249.64</v>
      </c>
      <c r="J1245" s="10">
        <v>7567.55</v>
      </c>
      <c r="K1245" s="8">
        <v>8780.64</v>
      </c>
      <c r="L1245" s="9">
        <v>8256.82</v>
      </c>
      <c r="M1245" s="9">
        <v>7987.58</v>
      </c>
      <c r="N1245" s="9">
        <v>9085.79</v>
      </c>
      <c r="O1245" s="9">
        <v>12000</v>
      </c>
      <c r="P1245" s="9">
        <v>12000</v>
      </c>
      <c r="Q1245" s="9">
        <v>12000</v>
      </c>
    </row>
    <row r="1246" spans="2:17" ht="12.75">
      <c r="B1246" s="11">
        <v>6401.7</v>
      </c>
      <c r="C1246" s="36">
        <v>527200</v>
      </c>
      <c r="E1246" s="3" t="s">
        <v>2541</v>
      </c>
      <c r="I1246" s="10"/>
      <c r="J1246" s="10"/>
      <c r="K1246" s="10"/>
      <c r="N1246" s="9">
        <v>1400</v>
      </c>
      <c r="O1246" s="9">
        <v>2800</v>
      </c>
      <c r="P1246" s="9">
        <v>2800</v>
      </c>
      <c r="Q1246" s="9">
        <v>3100</v>
      </c>
    </row>
    <row r="1247" spans="2:20" ht="12.75">
      <c r="B1247" s="36">
        <v>6891</v>
      </c>
      <c r="C1247" s="36">
        <v>529300</v>
      </c>
      <c r="D1247" s="36" t="s">
        <v>2512</v>
      </c>
      <c r="E1247" s="3" t="s">
        <v>1085</v>
      </c>
      <c r="F1247" s="19">
        <v>11867</v>
      </c>
      <c r="G1247" s="19">
        <v>91852.24</v>
      </c>
      <c r="H1247" s="19">
        <v>33390.25</v>
      </c>
      <c r="I1247" s="10">
        <v>46725.05</v>
      </c>
      <c r="J1247" s="10">
        <v>46160.84</v>
      </c>
      <c r="K1247" s="8">
        <v>45902.72</v>
      </c>
      <c r="L1247" s="9">
        <v>42768.76</v>
      </c>
      <c r="M1247" s="9">
        <v>43998.92</v>
      </c>
      <c r="N1247" s="9">
        <v>55827.06</v>
      </c>
      <c r="O1247" s="9">
        <f>56000+21144+9500</f>
        <v>86644</v>
      </c>
      <c r="P1247" s="9">
        <v>62000</v>
      </c>
      <c r="Q1247" s="9">
        <v>57000</v>
      </c>
      <c r="S1247" s="214"/>
      <c r="T1247" s="176"/>
    </row>
    <row r="1248" spans="2:20" ht="12.75">
      <c r="B1248" s="11" t="s">
        <v>1086</v>
      </c>
      <c r="C1248" s="36">
        <v>534100</v>
      </c>
      <c r="D1248" s="36" t="s">
        <v>2512</v>
      </c>
      <c r="E1248" s="3" t="s">
        <v>2470</v>
      </c>
      <c r="F1248" s="19">
        <v>0</v>
      </c>
      <c r="G1248" s="19">
        <v>15865.26</v>
      </c>
      <c r="H1248" s="19">
        <v>12487.82</v>
      </c>
      <c r="I1248" s="10">
        <v>31121.04</v>
      </c>
      <c r="J1248" s="10">
        <v>18465.64</v>
      </c>
      <c r="K1248" s="8">
        <v>47914.2</v>
      </c>
      <c r="L1248" s="9">
        <v>25085.5</v>
      </c>
      <c r="M1248" s="9">
        <v>31624.32</v>
      </c>
      <c r="N1248" s="9">
        <v>37810.76</v>
      </c>
      <c r="O1248" s="9">
        <f>21400</f>
        <v>21400</v>
      </c>
      <c r="P1248" s="9">
        <v>40000</v>
      </c>
      <c r="Q1248" s="9">
        <v>16500</v>
      </c>
      <c r="S1248" s="214"/>
      <c r="T1248" s="175"/>
    </row>
    <row r="1249" spans="2:20" ht="12.75">
      <c r="B1249" s="50" t="s">
        <v>1087</v>
      </c>
      <c r="C1249" s="36">
        <v>534100</v>
      </c>
      <c r="D1249" s="36" t="s">
        <v>2513</v>
      </c>
      <c r="E1249" s="3" t="s">
        <v>1088</v>
      </c>
      <c r="F1249" s="19">
        <v>0</v>
      </c>
      <c r="G1249" s="19">
        <v>31699.97</v>
      </c>
      <c r="H1249" s="19">
        <v>4460.72</v>
      </c>
      <c r="I1249" s="10">
        <v>5369.51</v>
      </c>
      <c r="J1249" s="10">
        <v>6372.56</v>
      </c>
      <c r="K1249" s="8">
        <v>6194.73</v>
      </c>
      <c r="L1249" s="9">
        <v>6380.39</v>
      </c>
      <c r="M1249" s="9">
        <v>3130.08</v>
      </c>
      <c r="N1249" s="9">
        <v>3003.61</v>
      </c>
      <c r="O1249" s="9">
        <f>2400+1100</f>
        <v>3500</v>
      </c>
      <c r="P1249" s="9">
        <v>3000</v>
      </c>
      <c r="Q1249" s="9">
        <v>4500</v>
      </c>
      <c r="S1249" s="214"/>
      <c r="T1249" s="175"/>
    </row>
    <row r="1250" spans="2:10" ht="12.75" hidden="1">
      <c r="B1250" s="50" t="s">
        <v>2319</v>
      </c>
      <c r="C1250" s="49"/>
      <c r="D1250" s="49"/>
      <c r="E1250" s="3" t="s">
        <v>2594</v>
      </c>
      <c r="F1250" s="19">
        <v>0</v>
      </c>
      <c r="G1250" s="19">
        <v>0</v>
      </c>
      <c r="H1250" s="19">
        <v>70.3</v>
      </c>
      <c r="I1250" s="10">
        <v>50526.26</v>
      </c>
      <c r="J1250" s="9">
        <v>0</v>
      </c>
    </row>
    <row r="1251" spans="2:15" ht="12.75" hidden="1">
      <c r="B1251" s="15">
        <v>6401.7</v>
      </c>
      <c r="C1251" s="39"/>
      <c r="D1251" s="39"/>
      <c r="E1251" s="3" t="s">
        <v>727</v>
      </c>
      <c r="F1251" s="19">
        <v>0</v>
      </c>
      <c r="G1251" s="19">
        <v>0</v>
      </c>
      <c r="H1251" s="19">
        <v>8650.53</v>
      </c>
      <c r="I1251" s="10">
        <v>3665.51</v>
      </c>
      <c r="J1251" s="10">
        <v>0</v>
      </c>
      <c r="K1251" s="10">
        <v>0</v>
      </c>
      <c r="L1251" s="9">
        <f>19000-19000</f>
        <v>0</v>
      </c>
      <c r="M1251" s="9">
        <f>19000-19000</f>
        <v>0</v>
      </c>
      <c r="N1251" s="9">
        <f>19000-19000</f>
        <v>0</v>
      </c>
      <c r="O1251" s="9">
        <f>19000-19000</f>
        <v>0</v>
      </c>
    </row>
    <row r="1252" spans="2:17" ht="12.75">
      <c r="B1252" s="11">
        <v>6401.8</v>
      </c>
      <c r="C1252" s="36">
        <v>534500</v>
      </c>
      <c r="E1252" s="3" t="s">
        <v>2195</v>
      </c>
      <c r="I1252" s="10"/>
      <c r="J1252" s="10"/>
      <c r="K1252" s="10"/>
      <c r="N1252" s="9">
        <v>25428.19</v>
      </c>
      <c r="O1252" s="9">
        <v>31625</v>
      </c>
      <c r="P1252" s="9">
        <v>31625</v>
      </c>
      <c r="Q1252" s="9">
        <v>32000</v>
      </c>
    </row>
    <row r="1253" spans="2:17" ht="12.75">
      <c r="B1253" s="36">
        <v>6918</v>
      </c>
      <c r="C1253" s="36">
        <v>542100</v>
      </c>
      <c r="E1253" s="3" t="s">
        <v>2335</v>
      </c>
      <c r="F1253" s="19">
        <v>0</v>
      </c>
      <c r="G1253" s="19">
        <v>0</v>
      </c>
      <c r="H1253" s="19">
        <v>1673.46</v>
      </c>
      <c r="I1253" s="10">
        <v>4154.88</v>
      </c>
      <c r="J1253" s="10">
        <v>1693.96</v>
      </c>
      <c r="K1253" s="10">
        <v>1160.68</v>
      </c>
      <c r="L1253" s="9">
        <f>2228.92-160.07</f>
        <v>2068.85</v>
      </c>
      <c r="M1253" s="9">
        <v>1090.82</v>
      </c>
      <c r="N1253" s="9">
        <v>868.49</v>
      </c>
      <c r="O1253" s="9">
        <v>1200</v>
      </c>
      <c r="P1253" s="9">
        <v>1000</v>
      </c>
      <c r="Q1253" s="9">
        <v>1000</v>
      </c>
    </row>
    <row r="1254" spans="1:17" ht="12.75">
      <c r="A1254" s="3" t="s">
        <v>1111</v>
      </c>
      <c r="B1254" s="11" t="s">
        <v>1112</v>
      </c>
      <c r="C1254" s="36">
        <v>543000</v>
      </c>
      <c r="D1254" s="36" t="s">
        <v>2511</v>
      </c>
      <c r="E1254" s="3" t="s">
        <v>1113</v>
      </c>
      <c r="F1254" s="19">
        <v>504</v>
      </c>
      <c r="G1254" s="19">
        <v>698.12</v>
      </c>
      <c r="H1254" s="19">
        <v>1096.59</v>
      </c>
      <c r="I1254" s="10">
        <v>5429.77</v>
      </c>
      <c r="J1254" s="10">
        <v>3354.52</v>
      </c>
      <c r="K1254" s="10">
        <v>3516.1</v>
      </c>
      <c r="L1254" s="9">
        <v>3378.66</v>
      </c>
      <c r="M1254" s="9">
        <v>7495.03</v>
      </c>
      <c r="N1254" s="9">
        <v>8998.28</v>
      </c>
      <c r="O1254" s="9">
        <f>9600+125</f>
        <v>9725</v>
      </c>
      <c r="P1254" s="9">
        <v>9000</v>
      </c>
      <c r="Q1254" s="9">
        <v>9000</v>
      </c>
    </row>
    <row r="1255" spans="1:17" ht="12.75">
      <c r="A1255" s="3" t="s">
        <v>1106</v>
      </c>
      <c r="B1255" s="11" t="s">
        <v>1107</v>
      </c>
      <c r="C1255" s="36">
        <v>545000</v>
      </c>
      <c r="E1255" s="3" t="s">
        <v>1108</v>
      </c>
      <c r="F1255" s="19">
        <v>8747</v>
      </c>
      <c r="G1255" s="19">
        <v>7085.07</v>
      </c>
      <c r="H1255" s="19">
        <v>10929.84</v>
      </c>
      <c r="I1255" s="10">
        <v>11505.75</v>
      </c>
      <c r="J1255" s="10">
        <v>9850.82</v>
      </c>
      <c r="K1255" s="10">
        <v>9695.85</v>
      </c>
      <c r="L1255" s="9">
        <v>10135.08</v>
      </c>
      <c r="M1255" s="9">
        <v>11280.05</v>
      </c>
      <c r="N1255" s="9">
        <v>13413.6</v>
      </c>
      <c r="O1255" s="9">
        <f>16000+750</f>
        <v>16750</v>
      </c>
      <c r="P1255" s="9">
        <v>12000</v>
      </c>
      <c r="Q1255" s="9">
        <v>16000</v>
      </c>
    </row>
    <row r="1256" spans="2:14" ht="12.75" hidden="1">
      <c r="B1256" s="11" t="s">
        <v>1093</v>
      </c>
      <c r="E1256" s="3" t="s">
        <v>287</v>
      </c>
      <c r="F1256" s="19">
        <v>24139</v>
      </c>
      <c r="G1256" s="19">
        <v>107720.24</v>
      </c>
      <c r="I1256" s="10"/>
      <c r="J1256" s="10">
        <v>0</v>
      </c>
      <c r="L1256" s="9">
        <v>0</v>
      </c>
      <c r="M1256" s="9">
        <v>0</v>
      </c>
      <c r="N1256" s="9">
        <v>0</v>
      </c>
    </row>
    <row r="1257" spans="2:14" ht="12.75" hidden="1">
      <c r="B1257" s="50" t="s">
        <v>1089</v>
      </c>
      <c r="C1257" s="49"/>
      <c r="D1257" s="49"/>
      <c r="E1257" s="3" t="s">
        <v>1100</v>
      </c>
      <c r="F1257" s="19">
        <v>0</v>
      </c>
      <c r="G1257" s="19">
        <v>2743.52</v>
      </c>
      <c r="I1257" s="10">
        <v>0</v>
      </c>
      <c r="J1257" s="10">
        <v>0</v>
      </c>
      <c r="L1257" s="9">
        <v>0</v>
      </c>
      <c r="M1257" s="9">
        <v>0</v>
      </c>
      <c r="N1257" s="9">
        <v>0</v>
      </c>
    </row>
    <row r="1258" spans="2:14" ht="12.75" hidden="1">
      <c r="B1258" s="50" t="s">
        <v>1109</v>
      </c>
      <c r="C1258" s="49"/>
      <c r="D1258" s="49"/>
      <c r="E1258" s="3" t="s">
        <v>1110</v>
      </c>
      <c r="F1258" s="19">
        <v>0</v>
      </c>
      <c r="G1258" s="19">
        <v>1554.27</v>
      </c>
      <c r="H1258" s="19">
        <v>98.44</v>
      </c>
      <c r="I1258" s="10">
        <v>0</v>
      </c>
      <c r="J1258" s="9">
        <v>0</v>
      </c>
      <c r="L1258" s="9">
        <v>0</v>
      </c>
      <c r="M1258" s="9">
        <v>0</v>
      </c>
      <c r="N1258" s="9">
        <v>0</v>
      </c>
    </row>
    <row r="1259" spans="2:14" ht="12.75">
      <c r="B1259" s="40">
        <v>6401.5</v>
      </c>
      <c r="E1259" s="3" t="s">
        <v>2379</v>
      </c>
      <c r="F1259" s="19">
        <v>9610</v>
      </c>
      <c r="G1259" s="19">
        <v>53095.78</v>
      </c>
      <c r="H1259" s="19">
        <v>287.12</v>
      </c>
      <c r="I1259" s="10">
        <v>3204</v>
      </c>
      <c r="J1259" s="10">
        <v>245</v>
      </c>
      <c r="K1259" s="8">
        <v>325</v>
      </c>
      <c r="L1259" s="9">
        <v>2285</v>
      </c>
      <c r="M1259" s="9">
        <v>1283.99</v>
      </c>
      <c r="N1259" s="9">
        <v>0</v>
      </c>
    </row>
    <row r="1260" spans="1:14" ht="12.75" hidden="1">
      <c r="A1260" s="3" t="s">
        <v>1115</v>
      </c>
      <c r="B1260" s="11" t="s">
        <v>1116</v>
      </c>
      <c r="E1260" s="3" t="s">
        <v>1117</v>
      </c>
      <c r="F1260" s="19">
        <v>359</v>
      </c>
      <c r="G1260" s="19">
        <v>0</v>
      </c>
      <c r="I1260" s="10">
        <v>0</v>
      </c>
      <c r="J1260" s="10">
        <v>0</v>
      </c>
      <c r="L1260" s="9">
        <v>0</v>
      </c>
      <c r="M1260" s="9">
        <v>0</v>
      </c>
      <c r="N1260" s="9">
        <v>0</v>
      </c>
    </row>
    <row r="1261" spans="2:15" ht="12.75">
      <c r="B1261" s="50" t="s">
        <v>2318</v>
      </c>
      <c r="C1261" s="49"/>
      <c r="D1261" s="49"/>
      <c r="E1261" s="3" t="s">
        <v>1096</v>
      </c>
      <c r="I1261" s="10">
        <v>0</v>
      </c>
      <c r="J1261" s="10">
        <v>0</v>
      </c>
      <c r="K1261" s="8">
        <v>585</v>
      </c>
      <c r="L1261" s="9">
        <v>1250</v>
      </c>
      <c r="M1261" s="9">
        <v>2650</v>
      </c>
      <c r="N1261" s="9">
        <v>0</v>
      </c>
      <c r="O1261" s="9">
        <v>0</v>
      </c>
    </row>
    <row r="1262" spans="3:18" ht="12.75">
      <c r="C1262" s="196">
        <v>11923</v>
      </c>
      <c r="E1262" s="20" t="s">
        <v>2274</v>
      </c>
      <c r="F1262" s="25">
        <f aca="true" t="shared" si="275" ref="F1262:K1262">SUM(F1254:F1261)</f>
        <v>43359</v>
      </c>
      <c r="G1262" s="25">
        <f t="shared" si="275"/>
        <v>172897</v>
      </c>
      <c r="H1262" s="25">
        <f t="shared" si="275"/>
        <v>12411.990000000002</v>
      </c>
      <c r="I1262" s="23">
        <f t="shared" si="275"/>
        <v>20139.52</v>
      </c>
      <c r="J1262" s="23">
        <f t="shared" si="275"/>
        <v>13450.34</v>
      </c>
      <c r="K1262" s="23">
        <f t="shared" si="275"/>
        <v>14121.95</v>
      </c>
      <c r="L1262" s="7">
        <f>SUM(L1234:L1261)</f>
        <v>288681.75</v>
      </c>
      <c r="M1262" s="7">
        <f aca="true" t="shared" si="276" ref="M1262:R1262">SUM(M1234:M1261)</f>
        <v>316674.58</v>
      </c>
      <c r="N1262" s="7">
        <f t="shared" si="276"/>
        <v>412315.93</v>
      </c>
      <c r="O1262" s="7">
        <f t="shared" si="276"/>
        <v>535856</v>
      </c>
      <c r="P1262" s="7">
        <f t="shared" si="276"/>
        <v>497425</v>
      </c>
      <c r="Q1262" s="7">
        <f t="shared" si="276"/>
        <v>579340</v>
      </c>
      <c r="R1262" s="7">
        <f t="shared" si="276"/>
        <v>0</v>
      </c>
    </row>
    <row r="1263" spans="5:10" ht="12.75" hidden="1">
      <c r="E1263" s="20"/>
      <c r="F1263" s="25"/>
      <c r="G1263" s="25"/>
      <c r="H1263" s="25"/>
      <c r="I1263" s="23"/>
      <c r="J1263" s="10"/>
    </row>
    <row r="1264" spans="1:18" ht="12.75" hidden="1">
      <c r="A1264" s="3" t="s">
        <v>1121</v>
      </c>
      <c r="B1264" s="11" t="s">
        <v>1122</v>
      </c>
      <c r="E1264" s="3" t="s">
        <v>2350</v>
      </c>
      <c r="F1264" s="19">
        <v>1200</v>
      </c>
      <c r="G1264" s="19">
        <v>876.16</v>
      </c>
      <c r="H1264" s="19">
        <v>3198.36</v>
      </c>
      <c r="I1264" s="10">
        <v>3169.29</v>
      </c>
      <c r="J1264" s="10">
        <v>2554.15</v>
      </c>
      <c r="K1264" s="10">
        <v>2440</v>
      </c>
      <c r="L1264" s="9">
        <f aca="true" t="shared" si="277" ref="L1264:R1264">2400-2400</f>
        <v>0</v>
      </c>
      <c r="M1264" s="9">
        <f t="shared" si="277"/>
        <v>0</v>
      </c>
      <c r="N1264" s="9">
        <f t="shared" si="277"/>
        <v>0</v>
      </c>
      <c r="O1264" s="9">
        <f t="shared" si="277"/>
        <v>0</v>
      </c>
      <c r="P1264" s="9">
        <f t="shared" si="277"/>
        <v>0</v>
      </c>
      <c r="Q1264" s="9">
        <f t="shared" si="277"/>
        <v>0</v>
      </c>
      <c r="R1264" s="9">
        <f t="shared" si="277"/>
        <v>0</v>
      </c>
    </row>
    <row r="1265" spans="5:11" ht="12.75" hidden="1">
      <c r="E1265" s="3" t="s">
        <v>294</v>
      </c>
      <c r="I1265" s="10"/>
      <c r="J1265" s="10"/>
      <c r="K1265" s="10"/>
    </row>
    <row r="1266" spans="2:18" ht="12.75" hidden="1">
      <c r="B1266" s="50" t="s">
        <v>1123</v>
      </c>
      <c r="C1266" s="49"/>
      <c r="D1266" s="49"/>
      <c r="E1266" s="3" t="s">
        <v>2270</v>
      </c>
      <c r="I1266" s="10">
        <v>0</v>
      </c>
      <c r="J1266" s="10">
        <v>0</v>
      </c>
      <c r="K1266" s="10">
        <v>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v>0</v>
      </c>
      <c r="R1266" s="9">
        <v>0</v>
      </c>
    </row>
    <row r="1267" spans="5:18" ht="12.75" hidden="1">
      <c r="E1267" s="20" t="s">
        <v>2274</v>
      </c>
      <c r="F1267" s="25">
        <f>SUM(F1264)</f>
        <v>1200</v>
      </c>
      <c r="G1267" s="25">
        <f>SUM(G1264)</f>
        <v>876.16</v>
      </c>
      <c r="H1267" s="25">
        <f>SUM(H1264)</f>
        <v>3198.36</v>
      </c>
      <c r="I1267" s="23">
        <f>SUM(I1264)</f>
        <v>3169.29</v>
      </c>
      <c r="J1267" s="23">
        <f aca="true" t="shared" si="278" ref="J1267:R1267">SUM(J1264:J1266)</f>
        <v>2554.15</v>
      </c>
      <c r="K1267" s="23">
        <f t="shared" si="278"/>
        <v>2440</v>
      </c>
      <c r="L1267" s="7">
        <f t="shared" si="278"/>
        <v>0</v>
      </c>
      <c r="M1267" s="7">
        <f t="shared" si="278"/>
        <v>0</v>
      </c>
      <c r="N1267" s="7">
        <f t="shared" si="278"/>
        <v>0</v>
      </c>
      <c r="O1267" s="7">
        <f t="shared" si="278"/>
        <v>0</v>
      </c>
      <c r="P1267" s="7">
        <f t="shared" si="278"/>
        <v>0</v>
      </c>
      <c r="Q1267" s="7">
        <f t="shared" si="278"/>
        <v>0</v>
      </c>
      <c r="R1267" s="7">
        <f t="shared" si="278"/>
        <v>0</v>
      </c>
    </row>
    <row r="1268" spans="5:10" ht="12.75" hidden="1">
      <c r="E1268" s="20"/>
      <c r="F1268" s="25"/>
      <c r="G1268" s="25"/>
      <c r="H1268" s="25"/>
      <c r="I1268" s="23"/>
      <c r="J1268" s="10"/>
    </row>
    <row r="1269" spans="2:18" ht="12.75">
      <c r="B1269" s="36">
        <v>6917</v>
      </c>
      <c r="C1269" s="36">
        <v>587000</v>
      </c>
      <c r="E1269" s="3" t="s">
        <v>929</v>
      </c>
      <c r="F1269" s="25"/>
      <c r="G1269" s="25"/>
      <c r="H1269" s="25"/>
      <c r="I1269" s="23"/>
      <c r="J1269" s="10">
        <v>13687.75</v>
      </c>
      <c r="K1269" s="10">
        <v>18076.35</v>
      </c>
      <c r="L1269" s="9">
        <v>0</v>
      </c>
      <c r="M1269" s="7"/>
      <c r="N1269" s="9">
        <v>2056.28</v>
      </c>
      <c r="O1269" s="7"/>
      <c r="P1269" s="7"/>
      <c r="Q1269" s="7"/>
      <c r="R1269" s="7"/>
    </row>
    <row r="1270" spans="2:18" ht="12.75">
      <c r="B1270" s="50" t="s">
        <v>2310</v>
      </c>
      <c r="C1270" s="36">
        <v>582600</v>
      </c>
      <c r="D1270" s="36" t="s">
        <v>2512</v>
      </c>
      <c r="E1270" s="3" t="s">
        <v>2311</v>
      </c>
      <c r="F1270" s="25"/>
      <c r="G1270" s="25"/>
      <c r="H1270" s="25"/>
      <c r="I1270" s="23"/>
      <c r="J1270" s="10">
        <v>35534.02</v>
      </c>
      <c r="K1270" s="10">
        <v>5520</v>
      </c>
      <c r="L1270" s="7"/>
      <c r="M1270" s="7"/>
      <c r="N1270" s="7"/>
      <c r="O1270" s="179">
        <v>143463.64</v>
      </c>
      <c r="P1270" s="179">
        <v>143464</v>
      </c>
      <c r="Q1270" s="179">
        <v>70000</v>
      </c>
      <c r="R1270" s="179"/>
    </row>
    <row r="1271" spans="2:18" ht="12.75" hidden="1">
      <c r="B1271" s="50" t="s">
        <v>2312</v>
      </c>
      <c r="C1271" s="49"/>
      <c r="D1271" s="49"/>
      <c r="E1271" s="3" t="s">
        <v>2313</v>
      </c>
      <c r="F1271" s="25"/>
      <c r="G1271" s="25"/>
      <c r="H1271" s="25"/>
      <c r="I1271" s="23"/>
      <c r="J1271" s="10">
        <v>6259.18</v>
      </c>
      <c r="K1271" s="10">
        <v>2071.82</v>
      </c>
      <c r="L1271" s="7"/>
      <c r="M1271" s="7"/>
      <c r="N1271" s="7"/>
      <c r="O1271" s="7"/>
      <c r="P1271" s="7"/>
      <c r="Q1271" s="7"/>
      <c r="R1271" s="7"/>
    </row>
    <row r="1272" spans="5:18" ht="12.75">
      <c r="E1272" s="20" t="s">
        <v>2277</v>
      </c>
      <c r="F1272" s="25"/>
      <c r="G1272" s="25"/>
      <c r="H1272" s="25"/>
      <c r="I1272" s="23">
        <v>0</v>
      </c>
      <c r="J1272" s="23">
        <f aca="true" t="shared" si="279" ref="J1272:R1272">SUM(J1269:J1271)</f>
        <v>55480.95</v>
      </c>
      <c r="K1272" s="7">
        <f t="shared" si="279"/>
        <v>25668.17</v>
      </c>
      <c r="L1272" s="7">
        <f t="shared" si="279"/>
        <v>0</v>
      </c>
      <c r="M1272" s="7">
        <f t="shared" si="279"/>
        <v>0</v>
      </c>
      <c r="N1272" s="7">
        <f t="shared" si="279"/>
        <v>2056.28</v>
      </c>
      <c r="O1272" s="7">
        <f t="shared" si="279"/>
        <v>143463.64</v>
      </c>
      <c r="P1272" s="7">
        <f t="shared" si="279"/>
        <v>143464</v>
      </c>
      <c r="Q1272" s="7">
        <f t="shared" si="279"/>
        <v>70000</v>
      </c>
      <c r="R1272" s="7">
        <f t="shared" si="279"/>
        <v>0</v>
      </c>
    </row>
    <row r="1273" spans="6:18" ht="12.75">
      <c r="F1273" s="25"/>
      <c r="G1273" s="25"/>
      <c r="H1273" s="25"/>
      <c r="I1273" s="23"/>
      <c r="J1273" s="23"/>
      <c r="K1273" s="23"/>
      <c r="L1273" s="7"/>
      <c r="M1273" s="7"/>
      <c r="N1273" s="7"/>
      <c r="O1273" s="7"/>
      <c r="P1273" s="7"/>
      <c r="Q1273" s="7"/>
      <c r="R1273" s="7"/>
    </row>
    <row r="1274" spans="5:18" ht="12.75">
      <c r="E1274" s="20" t="s">
        <v>1124</v>
      </c>
      <c r="F1274" s="25">
        <f>SUM(F1223:F1268)/2</f>
        <v>397195.5</v>
      </c>
      <c r="G1274" s="25">
        <f>SUM(G1223:G1268)/2</f>
        <v>578382.3</v>
      </c>
      <c r="H1274" s="25">
        <f>SUM(H1223:H1268)/2</f>
        <v>426743.60499999986</v>
      </c>
      <c r="I1274" s="23">
        <f>SUM(I1223:I1268)/2</f>
        <v>401828.41500000015</v>
      </c>
      <c r="J1274" s="23" t="e">
        <f>+J1272+J1267+J1262+#REF!+J1232</f>
        <v>#REF!</v>
      </c>
      <c r="K1274" s="23">
        <f>SUM(K1223:K1272)/2</f>
        <v>503973.1799999999</v>
      </c>
      <c r="L1274" s="7">
        <f>SUM(L1223:L1272)/2</f>
        <v>489624.14999999997</v>
      </c>
      <c r="M1274" s="7">
        <f aca="true" t="shared" si="280" ref="M1274:R1274">SUM(M1223:M1272)/2</f>
        <v>525386.3599999999</v>
      </c>
      <c r="N1274" s="7">
        <f t="shared" si="280"/>
        <v>622356.9199999999</v>
      </c>
      <c r="O1274" s="7">
        <f t="shared" si="280"/>
        <v>906642.6400000001</v>
      </c>
      <c r="P1274" s="7">
        <f t="shared" si="280"/>
        <v>860487</v>
      </c>
      <c r="Q1274" s="7">
        <f t="shared" si="280"/>
        <v>852595</v>
      </c>
      <c r="R1274" s="7">
        <f t="shared" si="280"/>
        <v>0</v>
      </c>
    </row>
    <row r="1275" spans="5:10" ht="12.75" hidden="1">
      <c r="E1275" s="4"/>
      <c r="F1275" s="5"/>
      <c r="G1275" s="5"/>
      <c r="H1275" s="5"/>
      <c r="I1275" s="6"/>
      <c r="J1275" s="7"/>
    </row>
    <row r="1276" spans="5:10" ht="12.75">
      <c r="E1276" s="4"/>
      <c r="F1276" s="5"/>
      <c r="G1276" s="5"/>
      <c r="H1276" s="5"/>
      <c r="I1276" s="6"/>
      <c r="J1276" s="7"/>
    </row>
    <row r="1277" spans="2:20" s="8" customFormat="1" ht="12.75">
      <c r="B1277" s="211"/>
      <c r="C1277" s="211"/>
      <c r="D1277" s="211"/>
      <c r="E1277" s="60" t="s">
        <v>969</v>
      </c>
      <c r="F1277" s="7" t="e">
        <f>F1139+F1176+F1219+#REF!+F1274+F1110+F1090+F1072+#REF!+#REF!+#REF!+#REF!+F1026+F999+F964+F1132</f>
        <v>#REF!</v>
      </c>
      <c r="G1277" s="7" t="e">
        <f>G1139+G1176+G1219+#REF!+G1274+G1110+G1090+G1072+#REF!+#REF!+#REF!+#REF!+G1026+G999+G964+G1132</f>
        <v>#REF!</v>
      </c>
      <c r="H1277" s="7" t="e">
        <f>H1139+H1176+H1219+#REF!+H1274+H1110+H1090+H1072+#REF!+#REF!+#REF!+#REF!+H1026+H999+H964+H1132</f>
        <v>#REF!</v>
      </c>
      <c r="I1277" s="7" t="e">
        <f>I1139+I1176+I1219+#REF!+I1274+I1110+I1090+I1072+#REF!+#REF!+#REF!+#REF!+I1026+I999+I964+I1132</f>
        <v>#REF!</v>
      </c>
      <c r="J1277" s="7" t="e">
        <f>J1139+J1176+J1219+#REF!+J1274+J1110+J1090+J1072+#REF!+#REF!+#REF!+#REF!+J1026+J999+J964+J1132</f>
        <v>#REF!</v>
      </c>
      <c r="K1277" s="7" t="e">
        <f aca="true" t="shared" si="281" ref="K1277:R1277">SUM(K1274+K1219+K1219+K1176+K964+K999+K1026+K1072+K1090+K1110+K1132+K1139+K1146)</f>
        <v>#REF!</v>
      </c>
      <c r="L1277" s="7">
        <f t="shared" si="281"/>
        <v>6481394.23</v>
      </c>
      <c r="M1277" s="7">
        <f t="shared" si="281"/>
        <v>6613231.32</v>
      </c>
      <c r="N1277" s="7">
        <f t="shared" si="281"/>
        <v>6186415.530000001</v>
      </c>
      <c r="O1277" s="7">
        <f t="shared" si="281"/>
        <v>7014596.640000001</v>
      </c>
      <c r="P1277" s="7">
        <f t="shared" si="281"/>
        <v>6911367</v>
      </c>
      <c r="Q1277" s="7">
        <f t="shared" si="281"/>
        <v>7538833</v>
      </c>
      <c r="R1277" s="7">
        <f t="shared" si="281"/>
        <v>0</v>
      </c>
      <c r="T1277" s="3"/>
    </row>
    <row r="1278" spans="2:10" ht="14.25">
      <c r="B1278" s="52" t="s">
        <v>2180</v>
      </c>
      <c r="C1278" s="197"/>
      <c r="D1278" s="197"/>
      <c r="E1278" s="34" t="s">
        <v>2180</v>
      </c>
      <c r="J1278" s="10"/>
    </row>
    <row r="1279" spans="1:10" ht="12.75">
      <c r="A1279" s="3" t="s">
        <v>2180</v>
      </c>
      <c r="C1279" s="196">
        <v>15101</v>
      </c>
      <c r="D1279" s="196"/>
      <c r="E1279" s="163" t="s">
        <v>1210</v>
      </c>
      <c r="J1279" s="10"/>
    </row>
    <row r="1280" spans="1:17" ht="12.75">
      <c r="A1280" s="3" t="s">
        <v>1211</v>
      </c>
      <c r="B1280" s="11" t="s">
        <v>1212</v>
      </c>
      <c r="C1280" s="36">
        <v>511000</v>
      </c>
      <c r="E1280" s="3" t="s">
        <v>2363</v>
      </c>
      <c r="F1280" s="19">
        <v>86392</v>
      </c>
      <c r="G1280" s="19">
        <v>98119.24</v>
      </c>
      <c r="H1280" s="19">
        <v>129496.2</v>
      </c>
      <c r="I1280" s="10">
        <v>101705.22</v>
      </c>
      <c r="J1280" s="10">
        <v>136952.42</v>
      </c>
      <c r="K1280" s="10">
        <v>148399.23</v>
      </c>
      <c r="L1280" s="9">
        <v>153166.71</v>
      </c>
      <c r="M1280" s="9">
        <v>132738.49</v>
      </c>
      <c r="N1280" s="9">
        <v>166816.01</v>
      </c>
      <c r="O1280" s="9">
        <v>175542</v>
      </c>
      <c r="P1280" s="9">
        <v>181152</v>
      </c>
      <c r="Q1280" s="9">
        <v>223860</v>
      </c>
    </row>
    <row r="1281" spans="1:17" ht="12.75">
      <c r="A1281" s="3" t="s">
        <v>1213</v>
      </c>
      <c r="B1281" s="11" t="s">
        <v>1214</v>
      </c>
      <c r="C1281" s="36">
        <v>511100</v>
      </c>
      <c r="E1281" s="3" t="s">
        <v>2370</v>
      </c>
      <c r="F1281" s="19">
        <v>16063</v>
      </c>
      <c r="G1281" s="19">
        <v>3049.81</v>
      </c>
      <c r="H1281" s="19">
        <v>29584.08</v>
      </c>
      <c r="I1281" s="10">
        <v>31962.3</v>
      </c>
      <c r="J1281" s="9">
        <v>30139.93</v>
      </c>
      <c r="K1281" s="10">
        <v>32626.63</v>
      </c>
      <c r="L1281" s="9">
        <f>34524.35+569.31</f>
        <v>35093.659999999996</v>
      </c>
      <c r="M1281" s="9">
        <v>38198.95</v>
      </c>
      <c r="N1281" s="9">
        <v>42229.95</v>
      </c>
      <c r="O1281" s="9">
        <v>44090</v>
      </c>
      <c r="P1281" s="9">
        <v>31241</v>
      </c>
      <c r="Q1281" s="9">
        <v>31241</v>
      </c>
    </row>
    <row r="1282" spans="1:14" ht="12.75" hidden="1">
      <c r="A1282" s="3" t="s">
        <v>1215</v>
      </c>
      <c r="B1282" s="11" t="s">
        <v>1216</v>
      </c>
      <c r="E1282" s="24" t="s">
        <v>1217</v>
      </c>
      <c r="F1282" s="19">
        <v>1148</v>
      </c>
      <c r="G1282" s="19">
        <v>935.3</v>
      </c>
      <c r="H1282" s="19">
        <v>223.21</v>
      </c>
      <c r="I1282" s="10">
        <v>0</v>
      </c>
      <c r="J1282" s="9">
        <v>0</v>
      </c>
      <c r="K1282" s="10">
        <v>0</v>
      </c>
      <c r="L1282" s="9">
        <v>0</v>
      </c>
      <c r="M1282" s="9">
        <v>0</v>
      </c>
      <c r="N1282" s="9">
        <v>0</v>
      </c>
    </row>
    <row r="1283" spans="2:17" ht="12.75">
      <c r="B1283" s="50" t="s">
        <v>1218</v>
      </c>
      <c r="C1283" s="49">
        <v>513000</v>
      </c>
      <c r="D1283" s="49"/>
      <c r="E1283" s="24" t="s">
        <v>2186</v>
      </c>
      <c r="F1283" s="19">
        <v>0</v>
      </c>
      <c r="G1283" s="19">
        <v>0</v>
      </c>
      <c r="H1283" s="19">
        <v>0</v>
      </c>
      <c r="I1283" s="10">
        <v>705.35</v>
      </c>
      <c r="J1283" s="9">
        <v>680.56</v>
      </c>
      <c r="K1283" s="10">
        <v>576.61</v>
      </c>
      <c r="L1283" s="9">
        <v>654.85</v>
      </c>
      <c r="M1283" s="9">
        <v>919.1</v>
      </c>
      <c r="N1283" s="9">
        <v>831.41</v>
      </c>
      <c r="O1283" s="9">
        <v>1080</v>
      </c>
      <c r="P1283" s="9">
        <v>1080</v>
      </c>
      <c r="Q1283" s="9">
        <v>1125</v>
      </c>
    </row>
    <row r="1284" spans="1:17" ht="12.75">
      <c r="A1284" s="3" t="s">
        <v>1219</v>
      </c>
      <c r="B1284" s="11">
        <v>6591</v>
      </c>
      <c r="C1284" s="36">
        <v>514800</v>
      </c>
      <c r="E1284" s="3" t="s">
        <v>2288</v>
      </c>
      <c r="F1284" s="19">
        <v>300</v>
      </c>
      <c r="G1284" s="19">
        <v>325</v>
      </c>
      <c r="H1284" s="19">
        <v>217</v>
      </c>
      <c r="I1284" s="10">
        <v>0</v>
      </c>
      <c r="J1284" s="9">
        <v>0</v>
      </c>
      <c r="K1284" s="10">
        <v>0</v>
      </c>
      <c r="L1284" s="9">
        <v>0</v>
      </c>
      <c r="M1284" s="9">
        <v>225</v>
      </c>
      <c r="N1284" s="9">
        <v>325</v>
      </c>
      <c r="O1284" s="9">
        <v>275</v>
      </c>
      <c r="P1284" s="9">
        <v>325</v>
      </c>
      <c r="Q1284" s="9">
        <v>325</v>
      </c>
    </row>
    <row r="1285" spans="1:17" ht="12.75">
      <c r="A1285" s="3" t="s">
        <v>1224</v>
      </c>
      <c r="B1285" s="11" t="s">
        <v>1225</v>
      </c>
      <c r="C1285" s="36">
        <v>517000</v>
      </c>
      <c r="E1285" s="3" t="s">
        <v>2222</v>
      </c>
      <c r="F1285" s="19">
        <v>22708</v>
      </c>
      <c r="G1285" s="19">
        <v>16756</v>
      </c>
      <c r="H1285" s="19">
        <f>21688-2265</f>
        <v>19423</v>
      </c>
      <c r="I1285" s="10">
        <v>18331</v>
      </c>
      <c r="J1285" s="9">
        <v>16050</v>
      </c>
      <c r="K1285" s="10">
        <v>26864</v>
      </c>
      <c r="L1285" s="9">
        <v>19437</v>
      </c>
      <c r="M1285" s="9">
        <v>19070.7</v>
      </c>
      <c r="N1285" s="9">
        <v>30754</v>
      </c>
      <c r="O1285" s="9">
        <v>49329</v>
      </c>
      <c r="P1285" s="9">
        <v>49329</v>
      </c>
      <c r="Q1285" s="9">
        <v>37036</v>
      </c>
    </row>
    <row r="1286" spans="1:15" ht="12.75" hidden="1">
      <c r="A1286" s="3" t="s">
        <v>1222</v>
      </c>
      <c r="B1286" s="11" t="s">
        <v>1223</v>
      </c>
      <c r="E1286" s="3" t="s">
        <v>2219</v>
      </c>
      <c r="F1286" s="19">
        <v>48</v>
      </c>
      <c r="G1286" s="19">
        <v>48</v>
      </c>
      <c r="H1286" s="19">
        <v>48</v>
      </c>
      <c r="I1286" s="10">
        <v>0</v>
      </c>
      <c r="J1286" s="9">
        <v>0</v>
      </c>
      <c r="K1286" s="10">
        <v>0</v>
      </c>
      <c r="L1286" s="9">
        <v>0</v>
      </c>
      <c r="M1286" s="9">
        <v>0</v>
      </c>
      <c r="N1286" s="9">
        <v>0</v>
      </c>
      <c r="O1286" s="9">
        <v>0</v>
      </c>
    </row>
    <row r="1287" spans="1:17" ht="12.75">
      <c r="A1287" s="3" t="s">
        <v>1220</v>
      </c>
      <c r="B1287" s="11" t="s">
        <v>1221</v>
      </c>
      <c r="C1287" s="36">
        <v>517200</v>
      </c>
      <c r="E1287" s="3" t="s">
        <v>2291</v>
      </c>
      <c r="F1287" s="19">
        <v>220</v>
      </c>
      <c r="G1287" s="19">
        <v>165</v>
      </c>
      <c r="H1287" s="19">
        <v>165</v>
      </c>
      <c r="I1287" s="10">
        <v>165</v>
      </c>
      <c r="J1287" s="9">
        <v>165</v>
      </c>
      <c r="K1287" s="10">
        <v>165</v>
      </c>
      <c r="L1287" s="9">
        <v>165</v>
      </c>
      <c r="M1287" s="9">
        <v>200</v>
      </c>
      <c r="N1287" s="9">
        <v>154</v>
      </c>
      <c r="O1287" s="9">
        <v>298</v>
      </c>
      <c r="P1287" s="9">
        <v>298</v>
      </c>
      <c r="Q1287" s="9">
        <v>313</v>
      </c>
    </row>
    <row r="1288" spans="1:17" ht="12.75">
      <c r="A1288" s="3" t="s">
        <v>1226</v>
      </c>
      <c r="B1288" s="11" t="s">
        <v>1227</v>
      </c>
      <c r="C1288" s="36">
        <v>517800</v>
      </c>
      <c r="E1288" s="3" t="s">
        <v>2298</v>
      </c>
      <c r="F1288" s="19">
        <v>519</v>
      </c>
      <c r="G1288" s="19">
        <v>213</v>
      </c>
      <c r="H1288" s="19">
        <v>0</v>
      </c>
      <c r="I1288" s="10">
        <v>1660</v>
      </c>
      <c r="J1288" s="9">
        <v>1170</v>
      </c>
      <c r="K1288" s="10">
        <v>1760</v>
      </c>
      <c r="L1288" s="9">
        <v>1760</v>
      </c>
      <c r="M1288" s="9">
        <v>1755</v>
      </c>
      <c r="N1288" s="9">
        <v>1760</v>
      </c>
      <c r="O1288" s="9">
        <v>2800</v>
      </c>
      <c r="P1288" s="9">
        <v>2800</v>
      </c>
      <c r="Q1288" s="9">
        <v>2438</v>
      </c>
    </row>
    <row r="1289" spans="5:18" ht="12.75">
      <c r="E1289" s="20" t="s">
        <v>2187</v>
      </c>
      <c r="F1289" s="21">
        <f aca="true" t="shared" si="282" ref="F1289:K1289">SUM(F1280:F1288)</f>
        <v>127398</v>
      </c>
      <c r="G1289" s="21">
        <f t="shared" si="282"/>
        <v>119611.35</v>
      </c>
      <c r="H1289" s="21">
        <f t="shared" si="282"/>
        <v>179156.49</v>
      </c>
      <c r="I1289" s="22">
        <f t="shared" si="282"/>
        <v>154528.87</v>
      </c>
      <c r="J1289" s="22">
        <f t="shared" si="282"/>
        <v>185157.91</v>
      </c>
      <c r="K1289" s="22">
        <f t="shared" si="282"/>
        <v>210391.47</v>
      </c>
      <c r="L1289" s="7">
        <f>SUM(L1280:L1288)</f>
        <v>210277.22</v>
      </c>
      <c r="M1289" s="7">
        <f aca="true" t="shared" si="283" ref="M1289:R1289">SUM(M1280:M1288)</f>
        <v>193107.24000000002</v>
      </c>
      <c r="N1289" s="7">
        <f t="shared" si="283"/>
        <v>242870.37000000002</v>
      </c>
      <c r="O1289" s="7">
        <f t="shared" si="283"/>
        <v>273414</v>
      </c>
      <c r="P1289" s="7">
        <f t="shared" si="283"/>
        <v>266225</v>
      </c>
      <c r="Q1289" s="7">
        <f t="shared" si="283"/>
        <v>296338</v>
      </c>
      <c r="R1289" s="7">
        <f t="shared" si="283"/>
        <v>0</v>
      </c>
    </row>
    <row r="1290" spans="3:9" ht="12.75">
      <c r="C1290" s="196">
        <v>15102</v>
      </c>
      <c r="D1290" s="196"/>
      <c r="I1290" s="10"/>
    </row>
    <row r="1291" spans="1:17" ht="12.75">
      <c r="A1291" s="3" t="s">
        <v>1234</v>
      </c>
      <c r="B1291" s="11" t="s">
        <v>1235</v>
      </c>
      <c r="C1291" s="36">
        <v>530000</v>
      </c>
      <c r="E1291" s="3" t="s">
        <v>1236</v>
      </c>
      <c r="F1291" s="19">
        <v>2353</v>
      </c>
      <c r="G1291" s="19">
        <v>1813.5</v>
      </c>
      <c r="H1291" s="19">
        <v>832</v>
      </c>
      <c r="I1291" s="10">
        <v>840</v>
      </c>
      <c r="J1291" s="8">
        <v>877.5</v>
      </c>
      <c r="K1291" s="10">
        <v>592.36</v>
      </c>
      <c r="L1291" s="9">
        <v>620</v>
      </c>
      <c r="M1291" s="9">
        <v>800</v>
      </c>
      <c r="N1291" s="9">
        <v>800</v>
      </c>
      <c r="O1291" s="9">
        <v>800</v>
      </c>
      <c r="P1291" s="9">
        <v>800</v>
      </c>
      <c r="Q1291" s="9">
        <v>900</v>
      </c>
    </row>
    <row r="1292" spans="1:17" ht="12.75">
      <c r="A1292" s="3" t="s">
        <v>1245</v>
      </c>
      <c r="B1292" s="11" t="s">
        <v>1246</v>
      </c>
      <c r="C1292" s="36">
        <v>530000</v>
      </c>
      <c r="E1292" s="3" t="s">
        <v>1247</v>
      </c>
      <c r="F1292" s="19">
        <v>105</v>
      </c>
      <c r="G1292" s="19">
        <v>110</v>
      </c>
      <c r="H1292" s="19">
        <v>305</v>
      </c>
      <c r="I1292" s="10">
        <v>145.65</v>
      </c>
      <c r="J1292" s="9">
        <v>429.33</v>
      </c>
      <c r="K1292" s="10">
        <v>299</v>
      </c>
      <c r="L1292" s="9">
        <v>179.69</v>
      </c>
      <c r="M1292" s="9">
        <v>300.82</v>
      </c>
      <c r="N1292" s="9">
        <v>299.03</v>
      </c>
      <c r="O1292" s="9">
        <v>300</v>
      </c>
      <c r="P1292" s="9">
        <v>300</v>
      </c>
      <c r="Q1292" s="9">
        <v>300</v>
      </c>
    </row>
    <row r="1293" spans="1:17" ht="12.75">
      <c r="A1293" s="3" t="s">
        <v>1248</v>
      </c>
      <c r="B1293" s="11" t="s">
        <v>1249</v>
      </c>
      <c r="C1293" s="36">
        <v>530000</v>
      </c>
      <c r="E1293" s="3" t="s">
        <v>1320</v>
      </c>
      <c r="F1293" s="19">
        <v>8000</v>
      </c>
      <c r="G1293" s="19">
        <v>10000</v>
      </c>
      <c r="H1293" s="19">
        <v>10000</v>
      </c>
      <c r="I1293" s="10">
        <v>12000</v>
      </c>
      <c r="J1293" s="9">
        <v>12012.79</v>
      </c>
      <c r="K1293" s="10">
        <v>9000</v>
      </c>
      <c r="L1293" s="9">
        <v>10000</v>
      </c>
      <c r="M1293" s="9">
        <v>9000</v>
      </c>
      <c r="N1293" s="9">
        <f>10000-5000</f>
        <v>5000</v>
      </c>
      <c r="O1293" s="9">
        <v>5000</v>
      </c>
      <c r="P1293" s="9">
        <v>5000</v>
      </c>
      <c r="Q1293" s="9">
        <v>7500</v>
      </c>
    </row>
    <row r="1294" spans="1:17" ht="12.75">
      <c r="A1294" s="3" t="s">
        <v>1231</v>
      </c>
      <c r="B1294" s="11" t="s">
        <v>1232</v>
      </c>
      <c r="C1294" s="36">
        <v>530600</v>
      </c>
      <c r="E1294" s="3" t="s">
        <v>1233</v>
      </c>
      <c r="F1294" s="19">
        <v>0</v>
      </c>
      <c r="G1294" s="19">
        <v>95.8</v>
      </c>
      <c r="H1294" s="19">
        <v>299.98</v>
      </c>
      <c r="I1294" s="10">
        <v>218.91</v>
      </c>
      <c r="J1294" s="9">
        <v>197.8</v>
      </c>
      <c r="K1294" s="10">
        <v>201.98</v>
      </c>
      <c r="L1294" s="9">
        <v>209.75</v>
      </c>
      <c r="M1294" s="9">
        <v>202.1</v>
      </c>
      <c r="N1294" s="9">
        <v>241.95</v>
      </c>
      <c r="O1294" s="9">
        <v>250</v>
      </c>
      <c r="P1294" s="9">
        <v>250</v>
      </c>
      <c r="Q1294" s="9">
        <v>300</v>
      </c>
    </row>
    <row r="1295" spans="1:14" ht="12.75" hidden="1">
      <c r="A1295" s="3" t="s">
        <v>1237</v>
      </c>
      <c r="B1295" s="11" t="s">
        <v>1238</v>
      </c>
      <c r="E1295" s="3" t="s">
        <v>1239</v>
      </c>
      <c r="F1295" s="19">
        <v>0</v>
      </c>
      <c r="G1295" s="19">
        <v>0</v>
      </c>
      <c r="H1295" s="19">
        <v>0</v>
      </c>
      <c r="I1295" s="10">
        <v>0</v>
      </c>
      <c r="J1295" s="9">
        <v>0</v>
      </c>
      <c r="K1295" s="10">
        <v>0</v>
      </c>
      <c r="L1295" s="9">
        <v>0</v>
      </c>
      <c r="M1295" s="9">
        <v>0</v>
      </c>
      <c r="N1295" s="9">
        <v>0</v>
      </c>
    </row>
    <row r="1296" spans="2:17" ht="12.75">
      <c r="B1296" s="50" t="s">
        <v>1228</v>
      </c>
      <c r="C1296" s="49">
        <v>531700</v>
      </c>
      <c r="D1296" s="49"/>
      <c r="E1296" s="3" t="s">
        <v>1982</v>
      </c>
      <c r="F1296" s="19">
        <v>0</v>
      </c>
      <c r="G1296" s="19">
        <v>0</v>
      </c>
      <c r="H1296" s="19">
        <v>0</v>
      </c>
      <c r="I1296" s="10">
        <v>150</v>
      </c>
      <c r="J1296" s="9">
        <v>0</v>
      </c>
      <c r="K1296" s="10">
        <v>0</v>
      </c>
      <c r="L1296" s="9">
        <v>0</v>
      </c>
      <c r="N1296" s="9">
        <v>0</v>
      </c>
      <c r="O1296" s="9">
        <v>600</v>
      </c>
      <c r="P1296" s="9">
        <v>600</v>
      </c>
      <c r="Q1296" s="9">
        <v>600</v>
      </c>
    </row>
    <row r="1297" spans="1:14" ht="12.75" hidden="1">
      <c r="A1297" s="3" t="s">
        <v>1242</v>
      </c>
      <c r="B1297" s="11" t="s">
        <v>1243</v>
      </c>
      <c r="E1297" s="3" t="s">
        <v>1244</v>
      </c>
      <c r="F1297" s="19">
        <v>18720</v>
      </c>
      <c r="G1297" s="19">
        <v>29000</v>
      </c>
      <c r="H1297" s="19">
        <v>0</v>
      </c>
      <c r="I1297" s="10">
        <v>0</v>
      </c>
      <c r="J1297" s="9">
        <v>0</v>
      </c>
      <c r="K1297" s="10">
        <v>0</v>
      </c>
      <c r="L1297" s="9">
        <v>0</v>
      </c>
      <c r="M1297" s="9">
        <v>0</v>
      </c>
      <c r="N1297" s="9">
        <v>0</v>
      </c>
    </row>
    <row r="1298" spans="1:14" ht="12.75">
      <c r="A1298" s="3" t="s">
        <v>1240</v>
      </c>
      <c r="B1298" s="11" t="s">
        <v>1241</v>
      </c>
      <c r="C1298" s="36">
        <v>531900</v>
      </c>
      <c r="E1298" s="3" t="s">
        <v>2198</v>
      </c>
      <c r="F1298" s="19">
        <v>32</v>
      </c>
      <c r="G1298" s="19">
        <v>39.38</v>
      </c>
      <c r="H1298" s="19">
        <v>77.74</v>
      </c>
      <c r="I1298" s="10">
        <v>57.9</v>
      </c>
      <c r="J1298" s="9">
        <v>45.49</v>
      </c>
      <c r="K1298" s="10">
        <v>50</v>
      </c>
      <c r="L1298" s="9">
        <v>73.52</v>
      </c>
      <c r="M1298" s="9">
        <v>92.74</v>
      </c>
      <c r="N1298" s="9">
        <v>100.12</v>
      </c>
    </row>
    <row r="1299" spans="1:17" ht="12.75">
      <c r="A1299" s="3" t="s">
        <v>1250</v>
      </c>
      <c r="B1299" s="11" t="s">
        <v>1251</v>
      </c>
      <c r="C1299" s="36">
        <v>534700</v>
      </c>
      <c r="E1299" s="3" t="s">
        <v>2193</v>
      </c>
      <c r="F1299" s="19">
        <v>371</v>
      </c>
      <c r="G1299" s="19">
        <v>240</v>
      </c>
      <c r="H1299" s="19">
        <v>450</v>
      </c>
      <c r="I1299" s="10">
        <v>437.25</v>
      </c>
      <c r="J1299" s="9">
        <v>421.94</v>
      </c>
      <c r="K1299" s="10">
        <v>471.35</v>
      </c>
      <c r="L1299" s="9">
        <v>488.27</v>
      </c>
      <c r="M1299" s="9">
        <v>481.98</v>
      </c>
      <c r="N1299" s="9">
        <v>498.43</v>
      </c>
      <c r="O1299" s="9">
        <v>500</v>
      </c>
      <c r="P1299" s="9">
        <v>500</v>
      </c>
      <c r="Q1299" s="9">
        <v>600</v>
      </c>
    </row>
    <row r="1300" spans="1:17" ht="12.75">
      <c r="A1300" s="3" t="s">
        <v>1255</v>
      </c>
      <c r="B1300" s="11" t="s">
        <v>1256</v>
      </c>
      <c r="C1300" s="36">
        <v>542100</v>
      </c>
      <c r="E1300" s="3" t="s">
        <v>1257</v>
      </c>
      <c r="F1300" s="19">
        <v>427</v>
      </c>
      <c r="G1300" s="19">
        <v>546.55</v>
      </c>
      <c r="H1300" s="19">
        <v>530.65</v>
      </c>
      <c r="I1300" s="10">
        <v>442.71</v>
      </c>
      <c r="J1300" s="9">
        <v>390.59</v>
      </c>
      <c r="K1300" s="10">
        <v>996.32</v>
      </c>
      <c r="L1300" s="9">
        <v>1109.51</v>
      </c>
      <c r="M1300" s="9">
        <v>509.31</v>
      </c>
      <c r="N1300" s="9">
        <v>551.03</v>
      </c>
      <c r="O1300" s="9">
        <v>1360</v>
      </c>
      <c r="P1300" s="9">
        <v>500</v>
      </c>
      <c r="Q1300" s="9">
        <v>1200</v>
      </c>
    </row>
    <row r="1301" spans="1:17" ht="12.75">
      <c r="A1301" s="3" t="s">
        <v>1258</v>
      </c>
      <c r="B1301" s="11" t="s">
        <v>1259</v>
      </c>
      <c r="C1301" s="36">
        <v>548000</v>
      </c>
      <c r="E1301" s="3" t="s">
        <v>2991</v>
      </c>
      <c r="F1301" s="19">
        <v>779</v>
      </c>
      <c r="G1301" s="19">
        <v>368.89</v>
      </c>
      <c r="H1301" s="19">
        <v>840.19</v>
      </c>
      <c r="I1301" s="10">
        <v>246.58</v>
      </c>
      <c r="J1301" s="9">
        <v>299.8</v>
      </c>
      <c r="K1301" s="10">
        <v>574.25</v>
      </c>
      <c r="L1301" s="9">
        <v>211.89</v>
      </c>
      <c r="M1301" s="9">
        <v>604.42</v>
      </c>
      <c r="N1301" s="9">
        <v>585.31</v>
      </c>
      <c r="O1301" s="9">
        <v>450</v>
      </c>
      <c r="P1301" s="9">
        <v>450</v>
      </c>
      <c r="Q1301" s="9">
        <v>650</v>
      </c>
    </row>
    <row r="1302" spans="1:17" ht="12.75">
      <c r="A1302" s="3" t="s">
        <v>1260</v>
      </c>
      <c r="B1302" s="11" t="s">
        <v>1261</v>
      </c>
      <c r="C1302" s="36">
        <v>550000</v>
      </c>
      <c r="E1302" s="3" t="s">
        <v>400</v>
      </c>
      <c r="F1302" s="19">
        <v>2012</v>
      </c>
      <c r="G1302" s="19">
        <v>1370.69</v>
      </c>
      <c r="H1302" s="19">
        <v>1962.11</v>
      </c>
      <c r="I1302" s="10">
        <v>1770.37</v>
      </c>
      <c r="J1302" s="10">
        <v>1726.92</v>
      </c>
      <c r="K1302" s="10">
        <v>1370.77</v>
      </c>
      <c r="L1302" s="9">
        <v>1319.9</v>
      </c>
      <c r="M1302" s="9">
        <v>1227.23</v>
      </c>
      <c r="N1302" s="9">
        <v>1347.43</v>
      </c>
      <c r="O1302" s="9">
        <v>1400</v>
      </c>
      <c r="P1302" s="9">
        <v>1400</v>
      </c>
      <c r="Q1302" s="9">
        <v>1600</v>
      </c>
    </row>
    <row r="1303" spans="1:17" ht="12.75">
      <c r="A1303" s="3" t="s">
        <v>1262</v>
      </c>
      <c r="B1303" s="11" t="s">
        <v>1263</v>
      </c>
      <c r="C1303" s="36">
        <v>571000</v>
      </c>
      <c r="E1303" s="3" t="s">
        <v>2389</v>
      </c>
      <c r="F1303" s="19">
        <v>676</v>
      </c>
      <c r="G1303" s="19">
        <v>586.4</v>
      </c>
      <c r="H1303" s="19">
        <v>765.68</v>
      </c>
      <c r="I1303" s="10">
        <v>581.96</v>
      </c>
      <c r="J1303" s="9">
        <v>478.14</v>
      </c>
      <c r="K1303" s="10">
        <v>499.98</v>
      </c>
      <c r="L1303" s="9">
        <v>734.86</v>
      </c>
      <c r="M1303" s="9">
        <v>755.64</v>
      </c>
      <c r="N1303" s="9">
        <v>757</v>
      </c>
      <c r="O1303" s="9">
        <v>1357</v>
      </c>
      <c r="P1303" s="9">
        <v>1357</v>
      </c>
      <c r="Q1303" s="9">
        <v>1600</v>
      </c>
    </row>
    <row r="1304" spans="1:17" ht="12.75">
      <c r="A1304" s="3" t="s">
        <v>1264</v>
      </c>
      <c r="B1304" s="11" t="s">
        <v>1265</v>
      </c>
      <c r="C1304" s="36">
        <v>573000</v>
      </c>
      <c r="E1304" s="3" t="s">
        <v>3001</v>
      </c>
      <c r="F1304" s="19">
        <v>133</v>
      </c>
      <c r="G1304" s="19">
        <v>170</v>
      </c>
      <c r="H1304" s="19">
        <v>254</v>
      </c>
      <c r="I1304" s="10">
        <v>185</v>
      </c>
      <c r="J1304" s="9">
        <v>390</v>
      </c>
      <c r="K1304" s="10">
        <v>480</v>
      </c>
      <c r="L1304" s="9">
        <v>248</v>
      </c>
      <c r="M1304" s="9">
        <v>490</v>
      </c>
      <c r="N1304" s="9">
        <v>519.68</v>
      </c>
      <c r="O1304" s="9">
        <v>500</v>
      </c>
      <c r="P1304" s="9">
        <v>500</v>
      </c>
      <c r="Q1304" s="9">
        <v>755</v>
      </c>
    </row>
    <row r="1305" spans="1:11" ht="12.75" hidden="1">
      <c r="A1305" s="3" t="s">
        <v>1229</v>
      </c>
      <c r="B1305" s="11" t="s">
        <v>1230</v>
      </c>
      <c r="C1305" s="36">
        <v>587100</v>
      </c>
      <c r="E1305" s="3" t="s">
        <v>2276</v>
      </c>
      <c r="F1305" s="19">
        <v>126</v>
      </c>
      <c r="G1305" s="19">
        <v>246.17</v>
      </c>
      <c r="H1305" s="19">
        <v>185.23</v>
      </c>
      <c r="I1305" s="10">
        <v>464.33</v>
      </c>
      <c r="J1305" s="9">
        <v>465.59</v>
      </c>
      <c r="K1305" s="10">
        <v>536.77</v>
      </c>
    </row>
    <row r="1306" spans="2:13" ht="12.75">
      <c r="B1306" s="11">
        <v>6598</v>
      </c>
      <c r="E1306" s="3" t="s">
        <v>1239</v>
      </c>
      <c r="I1306" s="10"/>
      <c r="J1306" s="8"/>
      <c r="K1306" s="10"/>
      <c r="M1306" s="9">
        <v>2995</v>
      </c>
    </row>
    <row r="1307" spans="2:15" ht="12.75" hidden="1">
      <c r="B1307" s="11" t="s">
        <v>1326</v>
      </c>
      <c r="E1307" s="3" t="s">
        <v>491</v>
      </c>
      <c r="I1307" s="10"/>
      <c r="K1307" s="10"/>
      <c r="O1307" s="9">
        <v>0</v>
      </c>
    </row>
    <row r="1308" spans="1:15" ht="12.75" hidden="1">
      <c r="A1308" s="3" t="s">
        <v>1252</v>
      </c>
      <c r="B1308" s="11" t="s">
        <v>1253</v>
      </c>
      <c r="E1308" s="3" t="s">
        <v>1254</v>
      </c>
      <c r="F1308" s="19">
        <v>0</v>
      </c>
      <c r="G1308" s="19">
        <v>7106</v>
      </c>
      <c r="H1308" s="19">
        <v>0</v>
      </c>
      <c r="I1308" s="10">
        <v>1000</v>
      </c>
      <c r="J1308" s="9">
        <v>0</v>
      </c>
      <c r="K1308" s="10">
        <v>820.26</v>
      </c>
      <c r="L1308" s="9">
        <v>0</v>
      </c>
      <c r="M1308" s="9">
        <v>0</v>
      </c>
      <c r="N1308" s="9">
        <v>0</v>
      </c>
      <c r="O1308" s="9">
        <v>0</v>
      </c>
    </row>
    <row r="1309" spans="2:14" ht="12.75" hidden="1">
      <c r="B1309" s="50" t="s">
        <v>2314</v>
      </c>
      <c r="C1309" s="49"/>
      <c r="D1309" s="49"/>
      <c r="E1309" s="3" t="s">
        <v>2350</v>
      </c>
      <c r="I1309" s="10"/>
      <c r="J1309" s="9">
        <v>550</v>
      </c>
      <c r="K1309" s="10">
        <v>600</v>
      </c>
      <c r="L1309" s="9">
        <f>600+300-900</f>
        <v>0</v>
      </c>
      <c r="M1309" s="9">
        <f>600+300-900</f>
        <v>0</v>
      </c>
      <c r="N1309" s="9">
        <f>600+300-900</f>
        <v>0</v>
      </c>
    </row>
    <row r="1310" spans="5:18" ht="12.75">
      <c r="E1310" s="20" t="s">
        <v>2274</v>
      </c>
      <c r="F1310" s="21">
        <f aca="true" t="shared" si="284" ref="F1310:K1310">SUM(F1306:F1309)</f>
        <v>0</v>
      </c>
      <c r="G1310" s="21">
        <f t="shared" si="284"/>
        <v>7106</v>
      </c>
      <c r="H1310" s="21">
        <f t="shared" si="284"/>
        <v>0</v>
      </c>
      <c r="I1310" s="22">
        <f t="shared" si="284"/>
        <v>1000</v>
      </c>
      <c r="J1310" s="23">
        <f t="shared" si="284"/>
        <v>550</v>
      </c>
      <c r="K1310" s="23">
        <f t="shared" si="284"/>
        <v>1420.26</v>
      </c>
      <c r="L1310" s="7">
        <f aca="true" t="shared" si="285" ref="L1310:R1310">SUM(L1291:L1309)</f>
        <v>15195.390000000001</v>
      </c>
      <c r="M1310" s="7">
        <f t="shared" si="285"/>
        <v>17459.239999999998</v>
      </c>
      <c r="N1310" s="7">
        <f t="shared" si="285"/>
        <v>10699.98</v>
      </c>
      <c r="O1310" s="7">
        <f t="shared" si="285"/>
        <v>12517</v>
      </c>
      <c r="P1310" s="7">
        <f t="shared" si="285"/>
        <v>11657</v>
      </c>
      <c r="Q1310" s="7">
        <f t="shared" si="285"/>
        <v>16005</v>
      </c>
      <c r="R1310" s="7">
        <f t="shared" si="285"/>
        <v>0</v>
      </c>
    </row>
    <row r="1311" spans="3:9" ht="12.75">
      <c r="C1311" s="196">
        <v>15103</v>
      </c>
      <c r="E1311" s="20"/>
      <c r="F1311" s="21"/>
      <c r="G1311" s="21"/>
      <c r="H1311" s="21"/>
      <c r="I1311" s="22"/>
    </row>
    <row r="1312" spans="2:18" ht="12.75">
      <c r="B1312" s="86" t="s">
        <v>2514</v>
      </c>
      <c r="C1312" s="36">
        <v>587100</v>
      </c>
      <c r="E1312" s="3" t="s">
        <v>2276</v>
      </c>
      <c r="F1312" s="37">
        <v>0</v>
      </c>
      <c r="G1312" s="37">
        <v>0</v>
      </c>
      <c r="H1312" s="37">
        <v>0</v>
      </c>
      <c r="I1312" s="8">
        <v>0</v>
      </c>
      <c r="J1312" s="9">
        <v>0</v>
      </c>
      <c r="K1312" s="8">
        <v>0</v>
      </c>
      <c r="L1312" s="9">
        <v>552.42</v>
      </c>
      <c r="M1312" s="9">
        <v>499.41</v>
      </c>
      <c r="N1312" s="9">
        <v>555</v>
      </c>
      <c r="O1312" s="9">
        <v>555</v>
      </c>
      <c r="P1312" s="9">
        <v>555</v>
      </c>
      <c r="Q1312" s="9">
        <v>700</v>
      </c>
      <c r="R1312" s="9">
        <v>0</v>
      </c>
    </row>
    <row r="1313" spans="5:18" ht="12.75">
      <c r="E1313" s="20" t="s">
        <v>2895</v>
      </c>
      <c r="F1313" s="21">
        <f aca="true" t="shared" si="286" ref="F1313:L1313">SUM(F1312)</f>
        <v>0</v>
      </c>
      <c r="G1313" s="21">
        <f t="shared" si="286"/>
        <v>0</v>
      </c>
      <c r="H1313" s="21">
        <f t="shared" si="286"/>
        <v>0</v>
      </c>
      <c r="I1313" s="22">
        <f t="shared" si="286"/>
        <v>0</v>
      </c>
      <c r="J1313" s="23">
        <f t="shared" si="286"/>
        <v>0</v>
      </c>
      <c r="K1313" s="23">
        <f t="shared" si="286"/>
        <v>0</v>
      </c>
      <c r="L1313" s="7">
        <f t="shared" si="286"/>
        <v>552.42</v>
      </c>
      <c r="M1313" s="7">
        <f aca="true" t="shared" si="287" ref="M1313:R1313">SUM(M1312)</f>
        <v>499.41</v>
      </c>
      <c r="N1313" s="7">
        <f t="shared" si="287"/>
        <v>555</v>
      </c>
      <c r="O1313" s="7">
        <f t="shared" si="287"/>
        <v>555</v>
      </c>
      <c r="P1313" s="7">
        <f t="shared" si="287"/>
        <v>555</v>
      </c>
      <c r="Q1313" s="7">
        <f t="shared" si="287"/>
        <v>700</v>
      </c>
      <c r="R1313" s="7">
        <f t="shared" si="287"/>
        <v>0</v>
      </c>
    </row>
    <row r="1314" ht="12.75">
      <c r="I1314" s="10"/>
    </row>
    <row r="1315" spans="5:18" ht="12.75">
      <c r="E1315" s="2" t="s">
        <v>1266</v>
      </c>
      <c r="F1315" s="31">
        <f aca="true" t="shared" si="288" ref="F1315:K1315">SUM(F1280:F1313)/2</f>
        <v>144265</v>
      </c>
      <c r="G1315" s="31">
        <f t="shared" si="288"/>
        <v>149011.04</v>
      </c>
      <c r="H1315" s="31">
        <f t="shared" si="288"/>
        <v>187407.77999999997</v>
      </c>
      <c r="I1315" s="28">
        <f t="shared" si="288"/>
        <v>164299.20000000004</v>
      </c>
      <c r="J1315" s="28">
        <f t="shared" si="288"/>
        <v>194575.855</v>
      </c>
      <c r="K1315" s="28">
        <f t="shared" si="288"/>
        <v>219348.12</v>
      </c>
      <c r="L1315" s="32">
        <f>SUM(L1280:L1313)/2</f>
        <v>226025.03000000003</v>
      </c>
      <c r="M1315" s="32">
        <f aca="true" t="shared" si="289" ref="M1315:R1315">SUM(M1280:M1313)/2</f>
        <v>211065.88999999996</v>
      </c>
      <c r="N1315" s="32">
        <f t="shared" si="289"/>
        <v>254125.35000000003</v>
      </c>
      <c r="O1315" s="32">
        <f t="shared" si="289"/>
        <v>286486</v>
      </c>
      <c r="P1315" s="32">
        <f t="shared" si="289"/>
        <v>278437</v>
      </c>
      <c r="Q1315" s="32">
        <f t="shared" si="289"/>
        <v>313043</v>
      </c>
      <c r="R1315" s="32">
        <f t="shared" si="289"/>
        <v>0</v>
      </c>
    </row>
    <row r="1316" spans="5:9" ht="12.75">
      <c r="E1316" s="63"/>
      <c r="I1316" s="10"/>
    </row>
    <row r="1317" spans="1:10" ht="12.75">
      <c r="A1317" s="3" t="s">
        <v>2180</v>
      </c>
      <c r="C1317" s="196">
        <v>12921</v>
      </c>
      <c r="D1317" s="196"/>
      <c r="E1317" s="163" t="s">
        <v>1267</v>
      </c>
      <c r="I1317" s="10"/>
      <c r="J1317" s="10"/>
    </row>
    <row r="1318" spans="1:17" ht="12.75">
      <c r="A1318" s="3" t="s">
        <v>1268</v>
      </c>
      <c r="B1318" s="11" t="s">
        <v>1269</v>
      </c>
      <c r="C1318" s="36">
        <v>511000</v>
      </c>
      <c r="E1318" s="3" t="s">
        <v>2363</v>
      </c>
      <c r="F1318" s="19">
        <v>19635</v>
      </c>
      <c r="G1318" s="19">
        <v>25408.64</v>
      </c>
      <c r="H1318" s="19">
        <v>23295.87</v>
      </c>
      <c r="I1318" s="10">
        <v>14988.56</v>
      </c>
      <c r="J1318" s="10">
        <v>25389.62</v>
      </c>
      <c r="K1318" s="10">
        <v>39354.86</v>
      </c>
      <c r="L1318" s="9">
        <v>41058.14</v>
      </c>
      <c r="M1318" s="9">
        <v>42889.85</v>
      </c>
      <c r="N1318" s="9">
        <v>44966.1</v>
      </c>
      <c r="O1318" s="9">
        <v>46126</v>
      </c>
      <c r="P1318" s="9">
        <v>46586</v>
      </c>
      <c r="Q1318" s="9">
        <v>46765</v>
      </c>
    </row>
    <row r="1319" spans="2:17" ht="12.75">
      <c r="B1319" s="50" t="s">
        <v>1270</v>
      </c>
      <c r="C1319" s="49">
        <v>513000</v>
      </c>
      <c r="D1319" s="49"/>
      <c r="E1319" s="3" t="s">
        <v>2186</v>
      </c>
      <c r="F1319" s="19">
        <v>0</v>
      </c>
      <c r="G1319" s="19">
        <v>0</v>
      </c>
      <c r="H1319" s="19">
        <v>0</v>
      </c>
      <c r="I1319" s="10">
        <v>0</v>
      </c>
      <c r="J1319" s="9">
        <v>686.82</v>
      </c>
      <c r="K1319" s="10">
        <v>27.21</v>
      </c>
      <c r="L1319" s="9">
        <v>0</v>
      </c>
      <c r="M1319" s="9">
        <v>248.42</v>
      </c>
      <c r="N1319" s="9">
        <v>306.88</v>
      </c>
      <c r="O1319" s="9">
        <v>500</v>
      </c>
      <c r="P1319" s="9">
        <v>500</v>
      </c>
      <c r="Q1319" s="9">
        <v>500</v>
      </c>
    </row>
    <row r="1320" spans="1:17" ht="12.75">
      <c r="A1320" s="3" t="s">
        <v>1271</v>
      </c>
      <c r="B1320" s="11" t="s">
        <v>1272</v>
      </c>
      <c r="C1320" s="36">
        <v>517000</v>
      </c>
      <c r="E1320" s="3" t="s">
        <v>2222</v>
      </c>
      <c r="F1320" s="19">
        <v>1993</v>
      </c>
      <c r="G1320" s="19">
        <v>2084</v>
      </c>
      <c r="H1320" s="19">
        <v>2265</v>
      </c>
      <c r="I1320" s="10">
        <v>6889</v>
      </c>
      <c r="J1320" s="9">
        <v>8543</v>
      </c>
      <c r="K1320" s="10">
        <v>9663</v>
      </c>
      <c r="L1320" s="9">
        <v>0</v>
      </c>
      <c r="M1320" s="9">
        <v>0</v>
      </c>
      <c r="N1320" s="9">
        <v>0</v>
      </c>
      <c r="O1320" s="9">
        <v>0</v>
      </c>
      <c r="Q1320" s="9">
        <v>0</v>
      </c>
    </row>
    <row r="1321" spans="2:17" ht="12.75">
      <c r="B1321" s="11" t="s">
        <v>1275</v>
      </c>
      <c r="C1321" s="36">
        <v>517200</v>
      </c>
      <c r="E1321" s="3" t="s">
        <v>2683</v>
      </c>
      <c r="F1321" s="19">
        <v>0</v>
      </c>
      <c r="G1321" s="19">
        <v>0</v>
      </c>
      <c r="H1321" s="19">
        <v>0</v>
      </c>
      <c r="I1321" s="10">
        <v>0</v>
      </c>
      <c r="J1321" s="9">
        <v>0</v>
      </c>
      <c r="K1321" s="10">
        <v>0</v>
      </c>
      <c r="L1321" s="9">
        <v>0</v>
      </c>
      <c r="M1321" s="9">
        <v>0</v>
      </c>
      <c r="N1321" s="9">
        <v>0</v>
      </c>
      <c r="O1321" s="9">
        <v>686</v>
      </c>
      <c r="P1321" s="9">
        <v>686</v>
      </c>
      <c r="Q1321" s="9">
        <v>720</v>
      </c>
    </row>
    <row r="1322" spans="1:17" ht="12.75">
      <c r="A1322" s="3" t="s">
        <v>1273</v>
      </c>
      <c r="B1322" s="11" t="s">
        <v>1274</v>
      </c>
      <c r="C1322" s="36">
        <v>517800</v>
      </c>
      <c r="E1322" s="3" t="s">
        <v>384</v>
      </c>
      <c r="F1322" s="19">
        <v>0</v>
      </c>
      <c r="G1322" s="19">
        <v>312</v>
      </c>
      <c r="H1322" s="19">
        <v>334</v>
      </c>
      <c r="I1322" s="10">
        <v>350</v>
      </c>
      <c r="J1322" s="9">
        <v>0</v>
      </c>
      <c r="K1322" s="10">
        <v>480</v>
      </c>
      <c r="L1322" s="9">
        <v>480</v>
      </c>
      <c r="M1322" s="9">
        <v>420</v>
      </c>
      <c r="N1322" s="9">
        <v>420</v>
      </c>
      <c r="O1322" s="9">
        <v>471</v>
      </c>
      <c r="P1322" s="9">
        <v>471</v>
      </c>
      <c r="Q1322" s="9">
        <v>411</v>
      </c>
    </row>
    <row r="1323" spans="2:13" ht="12.75">
      <c r="B1323" s="11">
        <v>6630.7</v>
      </c>
      <c r="C1323" s="36">
        <v>519900</v>
      </c>
      <c r="E1323" s="3" t="s">
        <v>740</v>
      </c>
      <c r="I1323" s="10"/>
      <c r="K1323" s="10"/>
      <c r="M1323" s="9">
        <v>488.65</v>
      </c>
    </row>
    <row r="1324" spans="1:17" ht="12.75">
      <c r="A1324" s="3" t="s">
        <v>1276</v>
      </c>
      <c r="B1324" s="11" t="s">
        <v>1277</v>
      </c>
      <c r="C1324" s="36">
        <v>519900</v>
      </c>
      <c r="E1324" s="3" t="s">
        <v>1323</v>
      </c>
      <c r="F1324" s="19">
        <v>0</v>
      </c>
      <c r="G1324" s="19">
        <v>500</v>
      </c>
      <c r="H1324" s="19">
        <v>500</v>
      </c>
      <c r="I1324" s="10">
        <v>92.1</v>
      </c>
      <c r="J1324" s="9">
        <v>459.86</v>
      </c>
      <c r="K1324" s="10">
        <v>336.98</v>
      </c>
      <c r="L1324" s="9">
        <v>220.37</v>
      </c>
      <c r="N1324" s="9">
        <v>625</v>
      </c>
      <c r="O1324" s="9">
        <v>500</v>
      </c>
      <c r="P1324" s="9">
        <v>500</v>
      </c>
      <c r="Q1324" s="9">
        <v>625</v>
      </c>
    </row>
    <row r="1325" spans="5:18" ht="12.75">
      <c r="E1325" s="20" t="s">
        <v>2187</v>
      </c>
      <c r="F1325" s="21">
        <f aca="true" t="shared" si="290" ref="F1325:L1325">SUM(F1318:F1322)</f>
        <v>21628</v>
      </c>
      <c r="G1325" s="21">
        <f t="shared" si="290"/>
        <v>27804.64</v>
      </c>
      <c r="H1325" s="21">
        <f t="shared" si="290"/>
        <v>25894.87</v>
      </c>
      <c r="I1325" s="22">
        <f t="shared" si="290"/>
        <v>22227.559999999998</v>
      </c>
      <c r="J1325" s="23">
        <f t="shared" si="290"/>
        <v>34619.44</v>
      </c>
      <c r="K1325" s="23">
        <f t="shared" si="290"/>
        <v>49525.07</v>
      </c>
      <c r="L1325" s="7">
        <f t="shared" si="290"/>
        <v>41538.14</v>
      </c>
      <c r="M1325" s="7">
        <f>SUM(M1318:M1324)</f>
        <v>44046.92</v>
      </c>
      <c r="N1325" s="7">
        <f>SUM(N1318:N1324)</f>
        <v>46317.979999999996</v>
      </c>
      <c r="O1325" s="7">
        <f>SUM(O1318:O1324)</f>
        <v>48283</v>
      </c>
      <c r="P1325" s="7">
        <f>SUM(P1318:P1324)</f>
        <v>48743</v>
      </c>
      <c r="Q1325" s="7">
        <f>SUM(Q1318:Q1324)</f>
        <v>49021</v>
      </c>
      <c r="R1325" s="7">
        <f>SUM(R1318:R1322)</f>
        <v>0</v>
      </c>
    </row>
    <row r="1326" spans="3:9" ht="12.75">
      <c r="C1326" s="196">
        <v>12922</v>
      </c>
      <c r="D1326" s="196"/>
      <c r="I1326" s="10"/>
    </row>
    <row r="1327" spans="1:17" ht="12.75">
      <c r="A1327" s="3" t="s">
        <v>1278</v>
      </c>
      <c r="B1327" s="11" t="s">
        <v>1453</v>
      </c>
      <c r="C1327" s="36">
        <v>524400</v>
      </c>
      <c r="E1327" s="3" t="s">
        <v>1321</v>
      </c>
      <c r="F1327" s="19">
        <v>168</v>
      </c>
      <c r="G1327" s="19">
        <v>2212.69</v>
      </c>
      <c r="H1327" s="19">
        <v>651.37</v>
      </c>
      <c r="I1327" s="10">
        <v>215.32</v>
      </c>
      <c r="J1327" s="9">
        <v>723.52</v>
      </c>
      <c r="K1327" s="10">
        <v>239.76</v>
      </c>
      <c r="L1327" s="9">
        <v>750</v>
      </c>
      <c r="M1327" s="9">
        <v>55.34</v>
      </c>
      <c r="N1327" s="9">
        <v>0</v>
      </c>
      <c r="O1327" s="9">
        <v>300</v>
      </c>
      <c r="P1327" s="9">
        <v>250</v>
      </c>
      <c r="Q1327" s="9">
        <v>300</v>
      </c>
    </row>
    <row r="1328" spans="1:17" ht="12.75">
      <c r="A1328" s="3" t="s">
        <v>1457</v>
      </c>
      <c r="B1328" s="11" t="s">
        <v>1458</v>
      </c>
      <c r="C1328" s="36">
        <v>530000</v>
      </c>
      <c r="E1328" s="3" t="s">
        <v>1459</v>
      </c>
      <c r="F1328" s="19">
        <v>368</v>
      </c>
      <c r="G1328" s="19">
        <v>420</v>
      </c>
      <c r="H1328" s="19">
        <v>649</v>
      </c>
      <c r="I1328" s="10">
        <v>509.5</v>
      </c>
      <c r="J1328" s="10">
        <v>603</v>
      </c>
      <c r="K1328" s="10">
        <v>327</v>
      </c>
      <c r="L1328" s="9">
        <v>571</v>
      </c>
      <c r="M1328" s="9">
        <v>686</v>
      </c>
      <c r="N1328" s="9">
        <v>474.5</v>
      </c>
      <c r="O1328" s="9">
        <v>800</v>
      </c>
      <c r="P1328" s="9">
        <v>600</v>
      </c>
      <c r="Q1328" s="9">
        <v>800</v>
      </c>
    </row>
    <row r="1329" spans="1:17" ht="12.75">
      <c r="A1329" s="3" t="s">
        <v>1462</v>
      </c>
      <c r="B1329" s="11" t="s">
        <v>1463</v>
      </c>
      <c r="C1329" s="36">
        <v>530000</v>
      </c>
      <c r="E1329" s="3" t="s">
        <v>1322</v>
      </c>
      <c r="F1329" s="19">
        <v>4375</v>
      </c>
      <c r="G1329" s="19">
        <v>9376</v>
      </c>
      <c r="H1329" s="19">
        <v>6577.36</v>
      </c>
      <c r="I1329" s="10">
        <v>5068.28</v>
      </c>
      <c r="J1329" s="9">
        <v>4542.21</v>
      </c>
      <c r="K1329" s="10">
        <v>4470</v>
      </c>
      <c r="L1329" s="9">
        <v>1467</v>
      </c>
      <c r="M1329" s="9">
        <v>4140.35</v>
      </c>
      <c r="N1329" s="9">
        <v>1815.05</v>
      </c>
      <c r="O1329" s="9">
        <v>3550</v>
      </c>
      <c r="P1329" s="9">
        <v>3550</v>
      </c>
      <c r="Q1329" s="9">
        <v>4000</v>
      </c>
    </row>
    <row r="1330" spans="1:17" ht="12.75">
      <c r="A1330" s="3" t="s">
        <v>1454</v>
      </c>
      <c r="B1330" s="11" t="s">
        <v>1455</v>
      </c>
      <c r="C1330" s="36">
        <v>530500</v>
      </c>
      <c r="E1330" s="3" t="s">
        <v>1456</v>
      </c>
      <c r="F1330" s="19">
        <v>0</v>
      </c>
      <c r="G1330" s="19">
        <v>0</v>
      </c>
      <c r="H1330" s="19">
        <v>0</v>
      </c>
      <c r="I1330" s="10">
        <v>0</v>
      </c>
      <c r="J1330" s="9">
        <v>0</v>
      </c>
      <c r="K1330" s="10">
        <v>300</v>
      </c>
      <c r="L1330" s="9">
        <v>320</v>
      </c>
      <c r="M1330" s="9">
        <v>200</v>
      </c>
      <c r="N1330" s="9">
        <v>200</v>
      </c>
      <c r="O1330" s="9">
        <v>200</v>
      </c>
      <c r="P1330" s="9">
        <v>200</v>
      </c>
      <c r="Q1330" s="9">
        <v>250</v>
      </c>
    </row>
    <row r="1331" spans="1:14" ht="12.75" hidden="1">
      <c r="A1331" s="3" t="s">
        <v>1460</v>
      </c>
      <c r="B1331" s="11" t="s">
        <v>1461</v>
      </c>
      <c r="E1331" s="3" t="s">
        <v>1254</v>
      </c>
      <c r="F1331" s="19">
        <v>0</v>
      </c>
      <c r="G1331" s="19">
        <v>0</v>
      </c>
      <c r="H1331" s="19">
        <v>0</v>
      </c>
      <c r="I1331" s="10">
        <v>0</v>
      </c>
      <c r="J1331" s="9">
        <v>0</v>
      </c>
      <c r="K1331" s="10">
        <v>0</v>
      </c>
      <c r="L1331" s="9">
        <v>0</v>
      </c>
      <c r="M1331" s="9">
        <v>0</v>
      </c>
      <c r="N1331" s="9">
        <v>0</v>
      </c>
    </row>
    <row r="1332" spans="1:17" ht="12.75">
      <c r="A1332" s="3" t="s">
        <v>1479</v>
      </c>
      <c r="B1332" s="11" t="s">
        <v>1480</v>
      </c>
      <c r="C1332" s="36">
        <v>533200</v>
      </c>
      <c r="E1332" s="3" t="s">
        <v>1481</v>
      </c>
      <c r="F1332" s="19">
        <v>7635</v>
      </c>
      <c r="G1332" s="19">
        <v>8100</v>
      </c>
      <c r="H1332" s="19">
        <v>8505</v>
      </c>
      <c r="I1332" s="10">
        <v>8836</v>
      </c>
      <c r="J1332" s="9">
        <v>8964</v>
      </c>
      <c r="K1332" s="10">
        <v>9223</v>
      </c>
      <c r="L1332" s="9">
        <v>7500</v>
      </c>
      <c r="M1332" s="9">
        <v>9785</v>
      </c>
      <c r="N1332" s="9">
        <v>10078</v>
      </c>
      <c r="O1332" s="9">
        <v>10330</v>
      </c>
      <c r="P1332" s="9">
        <v>10330</v>
      </c>
      <c r="Q1332" s="9">
        <v>10640</v>
      </c>
    </row>
    <row r="1333" spans="1:17" ht="12.75">
      <c r="A1333" s="3" t="s">
        <v>1467</v>
      </c>
      <c r="B1333" s="11" t="s">
        <v>1468</v>
      </c>
      <c r="C1333" s="36">
        <v>548000</v>
      </c>
      <c r="E1333" s="3" t="s">
        <v>1469</v>
      </c>
      <c r="F1333" s="19">
        <v>186</v>
      </c>
      <c r="G1333" s="19">
        <v>200</v>
      </c>
      <c r="H1333" s="19">
        <v>34.7</v>
      </c>
      <c r="I1333" s="10">
        <v>0</v>
      </c>
      <c r="J1333" s="9">
        <v>199.94</v>
      </c>
      <c r="K1333" s="10">
        <v>179</v>
      </c>
      <c r="L1333" s="9">
        <v>39</v>
      </c>
      <c r="M1333" s="9">
        <v>59.8</v>
      </c>
      <c r="N1333" s="9">
        <v>144.98</v>
      </c>
      <c r="O1333" s="9">
        <v>150</v>
      </c>
      <c r="P1333" s="9">
        <v>150</v>
      </c>
      <c r="Q1333" s="9">
        <v>150</v>
      </c>
    </row>
    <row r="1334" spans="1:17" ht="12.75">
      <c r="A1334" s="3" t="s">
        <v>1470</v>
      </c>
      <c r="B1334" s="11" t="s">
        <v>1471</v>
      </c>
      <c r="C1334" s="36">
        <v>548900</v>
      </c>
      <c r="E1334" s="3" t="s">
        <v>1472</v>
      </c>
      <c r="F1334" s="19">
        <v>1177</v>
      </c>
      <c r="G1334" s="19">
        <v>1070.9</v>
      </c>
      <c r="H1334" s="19">
        <v>464.25</v>
      </c>
      <c r="I1334" s="10">
        <v>253.98</v>
      </c>
      <c r="J1334" s="10">
        <v>725.85</v>
      </c>
      <c r="K1334" s="10">
        <v>730.77</v>
      </c>
      <c r="L1334" s="9">
        <v>686.84</v>
      </c>
      <c r="M1334" s="9">
        <v>912.03</v>
      </c>
      <c r="N1334" s="9">
        <v>1241.81</v>
      </c>
      <c r="O1334" s="9">
        <v>1304</v>
      </c>
      <c r="P1334" s="9">
        <v>1304</v>
      </c>
      <c r="Q1334" s="9">
        <v>1300</v>
      </c>
    </row>
    <row r="1335" spans="1:17" ht="12.75">
      <c r="A1335" s="3" t="s">
        <v>1464</v>
      </c>
      <c r="B1335" s="11" t="s">
        <v>1465</v>
      </c>
      <c r="C1335" s="36">
        <v>558900</v>
      </c>
      <c r="E1335" s="3" t="s">
        <v>1466</v>
      </c>
      <c r="F1335" s="19">
        <v>1954</v>
      </c>
      <c r="G1335" s="19">
        <v>814.04</v>
      </c>
      <c r="H1335" s="19">
        <v>1848.08</v>
      </c>
      <c r="I1335" s="10">
        <v>294.51</v>
      </c>
      <c r="J1335" s="9">
        <v>733.47</v>
      </c>
      <c r="K1335" s="10">
        <v>1589.92</v>
      </c>
      <c r="L1335" s="9">
        <v>381.32</v>
      </c>
      <c r="M1335" s="9">
        <v>545.89</v>
      </c>
      <c r="N1335" s="9">
        <v>269.51</v>
      </c>
      <c r="O1335" s="9">
        <v>600</v>
      </c>
      <c r="P1335" s="9">
        <v>600</v>
      </c>
      <c r="Q1335" s="9">
        <v>600</v>
      </c>
    </row>
    <row r="1336" spans="1:17" ht="12.75">
      <c r="A1336" s="3" t="s">
        <v>1473</v>
      </c>
      <c r="B1336" s="11" t="s">
        <v>1474</v>
      </c>
      <c r="C1336" s="36">
        <v>571000</v>
      </c>
      <c r="E1336" s="3" t="s">
        <v>2389</v>
      </c>
      <c r="F1336" s="19">
        <v>0</v>
      </c>
      <c r="G1336" s="19">
        <v>50</v>
      </c>
      <c r="H1336" s="19">
        <v>0</v>
      </c>
      <c r="I1336" s="10">
        <v>0</v>
      </c>
      <c r="J1336" s="9">
        <v>25.88</v>
      </c>
      <c r="K1336" s="10">
        <v>150</v>
      </c>
      <c r="L1336" s="9">
        <v>156.04</v>
      </c>
      <c r="M1336" s="9">
        <v>262.57</v>
      </c>
      <c r="N1336" s="9">
        <v>118.41</v>
      </c>
      <c r="O1336" s="9">
        <v>270</v>
      </c>
      <c r="P1336" s="9">
        <v>270</v>
      </c>
      <c r="Q1336" s="9">
        <v>270</v>
      </c>
    </row>
    <row r="1337" spans="1:17" ht="12.75">
      <c r="A1337" s="3" t="s">
        <v>1475</v>
      </c>
      <c r="B1337" s="11" t="s">
        <v>1476</v>
      </c>
      <c r="C1337" s="36">
        <v>573000</v>
      </c>
      <c r="E1337" s="3" t="s">
        <v>3001</v>
      </c>
      <c r="F1337" s="19">
        <v>0</v>
      </c>
      <c r="G1337" s="19">
        <v>30</v>
      </c>
      <c r="H1337" s="19">
        <v>30</v>
      </c>
      <c r="I1337" s="10">
        <v>0</v>
      </c>
      <c r="J1337" s="9">
        <v>30</v>
      </c>
      <c r="K1337" s="10">
        <v>0</v>
      </c>
      <c r="L1337" s="9">
        <v>50</v>
      </c>
      <c r="M1337" s="9">
        <v>50</v>
      </c>
      <c r="N1337" s="9">
        <v>50</v>
      </c>
      <c r="O1337" s="9">
        <v>50</v>
      </c>
      <c r="P1337" s="9">
        <v>50</v>
      </c>
      <c r="Q1337" s="9">
        <v>50</v>
      </c>
    </row>
    <row r="1338" spans="1:18" ht="12.75" hidden="1">
      <c r="A1338" s="3" t="s">
        <v>1477</v>
      </c>
      <c r="E1338" s="3" t="s">
        <v>289</v>
      </c>
      <c r="F1338" s="19">
        <v>0</v>
      </c>
      <c r="G1338" s="19">
        <v>0</v>
      </c>
      <c r="I1338" s="10">
        <v>0</v>
      </c>
      <c r="J1338" s="10">
        <v>4444.62</v>
      </c>
      <c r="K1338" s="10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</row>
    <row r="1339" spans="5:18" ht="12.75">
      <c r="E1339" s="20" t="s">
        <v>2274</v>
      </c>
      <c r="F1339" s="21">
        <f>SUM(F1336:F1338)</f>
        <v>0</v>
      </c>
      <c r="G1339" s="21">
        <f>SUM(G1336:G1337)</f>
        <v>80</v>
      </c>
      <c r="H1339" s="67">
        <f>SUM(H1336:H1338)</f>
        <v>30</v>
      </c>
      <c r="I1339" s="23">
        <f>SUM(I1336:I1338)</f>
        <v>0</v>
      </c>
      <c r="J1339" s="23">
        <f>SUM(J1336:J1338)</f>
        <v>4500.5</v>
      </c>
      <c r="K1339" s="23">
        <f>SUM(K1336:K1338)</f>
        <v>150</v>
      </c>
      <c r="L1339" s="7">
        <f aca="true" t="shared" si="291" ref="L1339:R1339">SUM(L1327:L1338)</f>
        <v>11921.2</v>
      </c>
      <c r="M1339" s="7">
        <f t="shared" si="291"/>
        <v>16696.98</v>
      </c>
      <c r="N1339" s="7">
        <f t="shared" si="291"/>
        <v>14392.259999999998</v>
      </c>
      <c r="O1339" s="7">
        <f t="shared" si="291"/>
        <v>17554</v>
      </c>
      <c r="P1339" s="7">
        <f t="shared" si="291"/>
        <v>17304</v>
      </c>
      <c r="Q1339" s="7">
        <f t="shared" si="291"/>
        <v>18360</v>
      </c>
      <c r="R1339" s="7">
        <f t="shared" si="291"/>
        <v>0</v>
      </c>
    </row>
    <row r="1340" ht="12.75">
      <c r="I1340" s="10"/>
    </row>
    <row r="1341" spans="5:18" ht="12.75">
      <c r="E1341" s="2" t="s">
        <v>1478</v>
      </c>
      <c r="F1341" s="31">
        <f aca="true" t="shared" si="292" ref="F1341:K1341">SUM(F1318:F1339)/2</f>
        <v>29559.5</v>
      </c>
      <c r="G1341" s="31">
        <f t="shared" si="292"/>
        <v>39231.454999999994</v>
      </c>
      <c r="H1341" s="31">
        <f t="shared" si="292"/>
        <v>35539.75</v>
      </c>
      <c r="I1341" s="28">
        <f t="shared" si="292"/>
        <v>29862.405</v>
      </c>
      <c r="J1341" s="28">
        <f t="shared" si="292"/>
        <v>47595.86500000001</v>
      </c>
      <c r="K1341" s="28">
        <f t="shared" si="292"/>
        <v>58373.284999999996</v>
      </c>
      <c r="L1341" s="32">
        <f>SUM(L1318:L1339)/2</f>
        <v>53569.524999999994</v>
      </c>
      <c r="M1341" s="32">
        <f aca="true" t="shared" si="293" ref="M1341:R1341">SUM(M1318:M1339)/2</f>
        <v>60743.9</v>
      </c>
      <c r="N1341" s="32">
        <f t="shared" si="293"/>
        <v>60710.23999999999</v>
      </c>
      <c r="O1341" s="32">
        <f t="shared" si="293"/>
        <v>65837</v>
      </c>
      <c r="P1341" s="32">
        <f t="shared" si="293"/>
        <v>66047</v>
      </c>
      <c r="Q1341" s="32">
        <f t="shared" si="293"/>
        <v>67381</v>
      </c>
      <c r="R1341" s="32">
        <f t="shared" si="293"/>
        <v>0</v>
      </c>
    </row>
    <row r="1342" spans="5:18" ht="12.75">
      <c r="E1342" s="2"/>
      <c r="F1342" s="31"/>
      <c r="G1342" s="31"/>
      <c r="H1342" s="31"/>
      <c r="I1342" s="28"/>
      <c r="J1342" s="28"/>
      <c r="K1342" s="28"/>
      <c r="L1342" s="32"/>
      <c r="M1342" s="32"/>
      <c r="N1342" s="32"/>
      <c r="O1342" s="32"/>
      <c r="P1342" s="32"/>
      <c r="Q1342" s="32"/>
      <c r="R1342" s="32"/>
    </row>
    <row r="1343" spans="3:10" ht="12.75">
      <c r="C1343" s="196">
        <v>15421</v>
      </c>
      <c r="D1343" s="196"/>
      <c r="E1343" s="163" t="s">
        <v>1550</v>
      </c>
      <c r="F1343" s="31"/>
      <c r="G1343" s="31"/>
      <c r="H1343" s="31"/>
      <c r="J1343" s="10"/>
    </row>
    <row r="1344" spans="2:18" ht="12.75" hidden="1">
      <c r="B1344" s="36">
        <v>6739</v>
      </c>
      <c r="E1344" s="34" t="s">
        <v>2938</v>
      </c>
      <c r="F1344" s="31"/>
      <c r="G1344" s="31"/>
      <c r="H1344" s="19">
        <v>0</v>
      </c>
      <c r="I1344" s="8">
        <v>38540.97</v>
      </c>
      <c r="J1344" s="9">
        <v>50718.61</v>
      </c>
      <c r="K1344" s="8">
        <v>33831.55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</row>
    <row r="1345" spans="2:19" s="68" customFormat="1" ht="12.75" hidden="1">
      <c r="B1345" s="11">
        <v>6741</v>
      </c>
      <c r="C1345" s="36"/>
      <c r="D1345" s="36"/>
      <c r="E1345" s="69" t="s">
        <v>1554</v>
      </c>
      <c r="F1345" s="70"/>
      <c r="G1345" s="70"/>
      <c r="H1345" s="70">
        <v>0</v>
      </c>
      <c r="I1345" s="71">
        <v>0</v>
      </c>
      <c r="J1345" s="9">
        <f>25000-25000</f>
        <v>0</v>
      </c>
      <c r="K1345" s="71">
        <v>0</v>
      </c>
      <c r="L1345" s="72">
        <v>0</v>
      </c>
      <c r="M1345" s="72">
        <v>0</v>
      </c>
      <c r="N1345" s="72">
        <v>0</v>
      </c>
      <c r="O1345" s="72">
        <v>0</v>
      </c>
      <c r="P1345" s="72">
        <v>0</v>
      </c>
      <c r="Q1345" s="72">
        <v>0</v>
      </c>
      <c r="R1345" s="72">
        <v>0</v>
      </c>
      <c r="S1345" s="79"/>
    </row>
    <row r="1346" spans="2:19" s="68" customFormat="1" ht="12.75">
      <c r="B1346" s="36">
        <v>6741</v>
      </c>
      <c r="C1346" s="36">
        <v>511100</v>
      </c>
      <c r="D1346" s="36"/>
      <c r="E1346" s="34" t="s">
        <v>1554</v>
      </c>
      <c r="F1346" s="70"/>
      <c r="G1346" s="70"/>
      <c r="H1346" s="70"/>
      <c r="I1346" s="71"/>
      <c r="J1346" s="9"/>
      <c r="K1346" s="71"/>
      <c r="L1346" s="72">
        <v>17656.3</v>
      </c>
      <c r="M1346" s="72">
        <v>20022.35</v>
      </c>
      <c r="N1346" s="72">
        <v>20843.65</v>
      </c>
      <c r="O1346" s="72">
        <v>21950</v>
      </c>
      <c r="P1346" s="72">
        <v>16324</v>
      </c>
      <c r="Q1346" s="72">
        <v>20140</v>
      </c>
      <c r="R1346" s="72"/>
      <c r="S1346" s="79"/>
    </row>
    <row r="1347" spans="2:19" s="68" customFormat="1" ht="12.75" hidden="1">
      <c r="B1347" s="36">
        <v>6742</v>
      </c>
      <c r="C1347" s="36">
        <v>517000</v>
      </c>
      <c r="D1347" s="36"/>
      <c r="E1347" s="69" t="s">
        <v>2222</v>
      </c>
      <c r="F1347" s="70"/>
      <c r="G1347" s="70"/>
      <c r="H1347" s="70"/>
      <c r="I1347" s="71"/>
      <c r="J1347" s="9"/>
      <c r="K1347" s="71">
        <v>3553</v>
      </c>
      <c r="L1347" s="72">
        <v>0</v>
      </c>
      <c r="M1347" s="72">
        <v>0</v>
      </c>
      <c r="N1347" s="72">
        <v>0</v>
      </c>
      <c r="O1347" s="72">
        <v>0</v>
      </c>
      <c r="P1347" s="72"/>
      <c r="Q1347" s="72">
        <v>0</v>
      </c>
      <c r="R1347" s="72"/>
      <c r="S1347" s="79"/>
    </row>
    <row r="1348" spans="2:19" s="68" customFormat="1" ht="12.75">
      <c r="B1348" s="36">
        <v>6743</v>
      </c>
      <c r="C1348" s="36">
        <v>517800</v>
      </c>
      <c r="D1348" s="36"/>
      <c r="E1348" s="69" t="s">
        <v>2298</v>
      </c>
      <c r="F1348" s="70"/>
      <c r="G1348" s="70"/>
      <c r="H1348" s="70"/>
      <c r="I1348" s="71"/>
      <c r="J1348" s="9"/>
      <c r="K1348" s="71">
        <v>660</v>
      </c>
      <c r="L1348" s="72">
        <v>660</v>
      </c>
      <c r="M1348" s="72">
        <v>187</v>
      </c>
      <c r="N1348" s="72">
        <v>187</v>
      </c>
      <c r="O1348" s="72">
        <v>187</v>
      </c>
      <c r="P1348" s="72">
        <v>187</v>
      </c>
      <c r="Q1348" s="72">
        <v>187</v>
      </c>
      <c r="R1348" s="72"/>
      <c r="S1348" s="79"/>
    </row>
    <row r="1349" spans="2:19" s="68" customFormat="1" ht="12.75">
      <c r="B1349" s="15"/>
      <c r="C1349" s="39"/>
      <c r="D1349" s="39"/>
      <c r="E1349" s="20" t="s">
        <v>2187</v>
      </c>
      <c r="F1349" s="73">
        <f>SUM(F1345:F1345)</f>
        <v>0</v>
      </c>
      <c r="G1349" s="73">
        <f>SUM(G1345:G1345)</f>
        <v>0</v>
      </c>
      <c r="H1349" s="73">
        <f>SUM(H1345:H1345)</f>
        <v>0</v>
      </c>
      <c r="I1349" s="74">
        <f>SUM(I1344:I1345)</f>
        <v>38540.97</v>
      </c>
      <c r="J1349" s="75">
        <f>SUM(J1344:J1345)</f>
        <v>50718.61</v>
      </c>
      <c r="K1349" s="75">
        <f aca="true" t="shared" si="294" ref="K1349:R1349">SUM(K1344:K1348)</f>
        <v>38044.55</v>
      </c>
      <c r="L1349" s="76">
        <f t="shared" si="294"/>
        <v>18316.3</v>
      </c>
      <c r="M1349" s="76">
        <f t="shared" si="294"/>
        <v>20209.35</v>
      </c>
      <c r="N1349" s="76">
        <f t="shared" si="294"/>
        <v>21030.65</v>
      </c>
      <c r="O1349" s="76">
        <f t="shared" si="294"/>
        <v>22137</v>
      </c>
      <c r="P1349" s="76">
        <f t="shared" si="294"/>
        <v>16511</v>
      </c>
      <c r="Q1349" s="76">
        <f t="shared" si="294"/>
        <v>20327</v>
      </c>
      <c r="R1349" s="76">
        <f t="shared" si="294"/>
        <v>0</v>
      </c>
      <c r="S1349" s="79"/>
    </row>
    <row r="1350" spans="2:19" s="69" customFormat="1" ht="12.75">
      <c r="B1350" s="11"/>
      <c r="C1350" s="196">
        <v>15422</v>
      </c>
      <c r="D1350" s="196"/>
      <c r="F1350" s="70"/>
      <c r="G1350" s="70"/>
      <c r="H1350" s="70"/>
      <c r="I1350" s="71"/>
      <c r="J1350" s="9"/>
      <c r="K1350" s="71"/>
      <c r="L1350" s="72"/>
      <c r="M1350" s="72"/>
      <c r="N1350" s="72"/>
      <c r="O1350" s="72"/>
      <c r="P1350" s="72"/>
      <c r="Q1350" s="72"/>
      <c r="R1350" s="72"/>
      <c r="S1350" s="71"/>
    </row>
    <row r="1351" spans="2:19" s="69" customFormat="1" ht="12.75" hidden="1">
      <c r="B1351" s="36">
        <v>6745</v>
      </c>
      <c r="C1351" s="36"/>
      <c r="D1351" s="36"/>
      <c r="E1351" s="69" t="s">
        <v>1560</v>
      </c>
      <c r="F1351" s="70"/>
      <c r="G1351" s="70">
        <v>0</v>
      </c>
      <c r="H1351" s="70">
        <v>0</v>
      </c>
      <c r="I1351" s="71"/>
      <c r="J1351" s="9">
        <v>0</v>
      </c>
      <c r="K1351" s="77">
        <v>0</v>
      </c>
      <c r="L1351" s="72">
        <v>0</v>
      </c>
      <c r="M1351" s="72">
        <v>0</v>
      </c>
      <c r="N1351" s="72">
        <v>0</v>
      </c>
      <c r="O1351" s="72">
        <v>0</v>
      </c>
      <c r="P1351" s="72">
        <v>0</v>
      </c>
      <c r="Q1351" s="72">
        <v>0</v>
      </c>
      <c r="R1351" s="72">
        <v>0</v>
      </c>
      <c r="S1351" s="71"/>
    </row>
    <row r="1352" spans="2:19" s="69" customFormat="1" ht="12.75">
      <c r="B1352" s="40">
        <v>6748.5</v>
      </c>
      <c r="C1352" s="36">
        <v>513000</v>
      </c>
      <c r="D1352" s="36"/>
      <c r="E1352" s="69" t="s">
        <v>3169</v>
      </c>
      <c r="F1352" s="70"/>
      <c r="G1352" s="70"/>
      <c r="H1352" s="70"/>
      <c r="I1352" s="71"/>
      <c r="J1352" s="9"/>
      <c r="K1352" s="77"/>
      <c r="L1352" s="72"/>
      <c r="M1352" s="72"/>
      <c r="N1352" s="72">
        <v>239.7</v>
      </c>
      <c r="O1352" s="72">
        <v>800</v>
      </c>
      <c r="P1352" s="72">
        <v>800</v>
      </c>
      <c r="Q1352" s="72">
        <v>800</v>
      </c>
      <c r="R1352" s="72"/>
      <c r="S1352" s="71"/>
    </row>
    <row r="1353" spans="2:19" s="69" customFormat="1" ht="12.75">
      <c r="B1353" s="36">
        <v>6747</v>
      </c>
      <c r="C1353" s="36">
        <v>530000</v>
      </c>
      <c r="D1353" s="36"/>
      <c r="E1353" s="69" t="s">
        <v>1562</v>
      </c>
      <c r="F1353" s="70"/>
      <c r="G1353" s="70">
        <v>0</v>
      </c>
      <c r="H1353" s="70">
        <v>2458.1</v>
      </c>
      <c r="I1353" s="71">
        <v>0</v>
      </c>
      <c r="J1353" s="77">
        <v>492.28</v>
      </c>
      <c r="K1353" s="77">
        <v>0</v>
      </c>
      <c r="L1353" s="72">
        <v>0</v>
      </c>
      <c r="M1353" s="72">
        <v>0</v>
      </c>
      <c r="N1353" s="72">
        <v>0</v>
      </c>
      <c r="O1353" s="72"/>
      <c r="P1353" s="72"/>
      <c r="Q1353" s="72">
        <v>9500</v>
      </c>
      <c r="R1353" s="72"/>
      <c r="S1353" s="71"/>
    </row>
    <row r="1354" spans="2:19" s="69" customFormat="1" ht="12.75">
      <c r="B1354" s="36">
        <v>6749</v>
      </c>
      <c r="C1354" s="36">
        <v>530000</v>
      </c>
      <c r="D1354" s="36"/>
      <c r="E1354" s="69" t="s">
        <v>1510</v>
      </c>
      <c r="F1354" s="70"/>
      <c r="G1354" s="70">
        <v>0</v>
      </c>
      <c r="H1354" s="70">
        <v>0</v>
      </c>
      <c r="I1354" s="71">
        <v>0</v>
      </c>
      <c r="J1354" s="72">
        <v>7095.49</v>
      </c>
      <c r="K1354" s="77">
        <v>4286.81</v>
      </c>
      <c r="L1354" s="72">
        <v>3756.5</v>
      </c>
      <c r="M1354" s="72">
        <v>7481.5</v>
      </c>
      <c r="N1354" s="72">
        <v>6608.88</v>
      </c>
      <c r="O1354" s="72">
        <v>9500</v>
      </c>
      <c r="P1354" s="72">
        <v>9500</v>
      </c>
      <c r="Q1354" s="72">
        <v>8843</v>
      </c>
      <c r="R1354" s="72"/>
      <c r="S1354" s="71"/>
    </row>
    <row r="1355" spans="2:19" s="69" customFormat="1" ht="12.75">
      <c r="B1355" s="36">
        <v>6748</v>
      </c>
      <c r="C1355" s="36">
        <v>530000</v>
      </c>
      <c r="D1355" s="36"/>
      <c r="E1355" s="69" t="s">
        <v>2379</v>
      </c>
      <c r="F1355" s="70"/>
      <c r="G1355" s="70">
        <v>0</v>
      </c>
      <c r="H1355" s="70">
        <v>1077.18</v>
      </c>
      <c r="I1355" s="71">
        <v>0</v>
      </c>
      <c r="J1355" s="9">
        <v>1458.45</v>
      </c>
      <c r="K1355" s="77">
        <v>400</v>
      </c>
      <c r="L1355" s="72">
        <v>1113.2</v>
      </c>
      <c r="M1355" s="72">
        <v>2056.3</v>
      </c>
      <c r="N1355" s="72">
        <v>6247.88</v>
      </c>
      <c r="O1355" s="72">
        <v>8843</v>
      </c>
      <c r="P1355" s="72">
        <v>8843</v>
      </c>
      <c r="Q1355" s="72">
        <v>800</v>
      </c>
      <c r="R1355" s="72"/>
      <c r="S1355" s="71"/>
    </row>
    <row r="1356" spans="2:19" s="68" customFormat="1" ht="12.75">
      <c r="B1356" s="36">
        <v>6750</v>
      </c>
      <c r="C1356" s="36">
        <v>542100</v>
      </c>
      <c r="D1356" s="36"/>
      <c r="E1356" s="69" t="s">
        <v>2335</v>
      </c>
      <c r="F1356" s="70"/>
      <c r="G1356" s="70">
        <v>0</v>
      </c>
      <c r="H1356" s="70">
        <v>982.06</v>
      </c>
      <c r="I1356" s="71">
        <v>0</v>
      </c>
      <c r="J1356" s="9">
        <v>1312.75</v>
      </c>
      <c r="K1356" s="71">
        <v>1143.57</v>
      </c>
      <c r="L1356" s="72">
        <v>667.83</v>
      </c>
      <c r="M1356" s="72">
        <v>760.01</v>
      </c>
      <c r="N1356" s="72">
        <v>781.09</v>
      </c>
      <c r="O1356" s="72">
        <v>800</v>
      </c>
      <c r="P1356" s="72">
        <v>800</v>
      </c>
      <c r="Q1356" s="72">
        <v>2500</v>
      </c>
      <c r="R1356" s="72"/>
      <c r="S1356" s="79"/>
    </row>
    <row r="1357" spans="2:19" s="69" customFormat="1" ht="12.75">
      <c r="B1357" s="36">
        <v>6740</v>
      </c>
      <c r="C1357" s="36">
        <v>558900</v>
      </c>
      <c r="D1357" s="36"/>
      <c r="E1357" s="69" t="s">
        <v>1561</v>
      </c>
      <c r="F1357" s="70"/>
      <c r="G1357" s="70">
        <v>16705.13</v>
      </c>
      <c r="H1357" s="70">
        <v>0</v>
      </c>
      <c r="I1357" s="71">
        <v>23262.58</v>
      </c>
      <c r="J1357" s="9">
        <v>4008.77</v>
      </c>
      <c r="K1357" s="77">
        <v>575.71</v>
      </c>
      <c r="L1357" s="72">
        <v>2391.96</v>
      </c>
      <c r="M1357" s="72">
        <v>2119.93</v>
      </c>
      <c r="N1357" s="72">
        <v>2163.12</v>
      </c>
      <c r="O1357" s="72">
        <v>2500</v>
      </c>
      <c r="P1357" s="72">
        <v>2500</v>
      </c>
      <c r="Q1357" s="72"/>
      <c r="R1357" s="72"/>
      <c r="S1357" s="71"/>
    </row>
    <row r="1358" spans="2:19" s="68" customFormat="1" ht="12.75">
      <c r="B1358" s="15"/>
      <c r="C1358" s="39"/>
      <c r="D1358" s="39"/>
      <c r="E1358" s="20" t="s">
        <v>2274</v>
      </c>
      <c r="F1358" s="78">
        <f>SUM(F1357:F1357)</f>
        <v>0</v>
      </c>
      <c r="G1358" s="78">
        <f>SUM(G1357:G1357)</f>
        <v>16705.13</v>
      </c>
      <c r="H1358" s="78">
        <f>SUM(H1357:H1357)</f>
        <v>0</v>
      </c>
      <c r="I1358" s="74">
        <f>SUM(I1357)</f>
        <v>23262.58</v>
      </c>
      <c r="J1358" s="75">
        <f>SUM(J1357)</f>
        <v>4008.77</v>
      </c>
      <c r="K1358" s="75">
        <f>SUM(K1357)</f>
        <v>575.71</v>
      </c>
      <c r="L1358" s="76">
        <f>SUM(L1352:L1357)</f>
        <v>7929.49</v>
      </c>
      <c r="M1358" s="76">
        <f aca="true" t="shared" si="295" ref="M1358:R1358">SUM(M1352:M1357)</f>
        <v>12417.74</v>
      </c>
      <c r="N1358" s="76">
        <f t="shared" si="295"/>
        <v>16040.669999999998</v>
      </c>
      <c r="O1358" s="76">
        <f t="shared" si="295"/>
        <v>22443</v>
      </c>
      <c r="P1358" s="76">
        <f t="shared" si="295"/>
        <v>22443</v>
      </c>
      <c r="Q1358" s="76">
        <f t="shared" si="295"/>
        <v>22443</v>
      </c>
      <c r="R1358" s="76">
        <f t="shared" si="295"/>
        <v>0</v>
      </c>
      <c r="S1358" s="79"/>
    </row>
    <row r="1359" spans="2:19" s="68" customFormat="1" ht="12.75">
      <c r="B1359" s="15"/>
      <c r="C1359" s="39"/>
      <c r="D1359" s="39"/>
      <c r="F1359" s="78"/>
      <c r="G1359" s="78"/>
      <c r="H1359" s="78"/>
      <c r="I1359" s="74"/>
      <c r="J1359" s="77"/>
      <c r="K1359" s="79"/>
      <c r="L1359" s="80"/>
      <c r="M1359" s="80"/>
      <c r="N1359" s="80"/>
      <c r="O1359" s="80"/>
      <c r="P1359" s="80"/>
      <c r="Q1359" s="80"/>
      <c r="R1359" s="80"/>
      <c r="S1359" s="79"/>
    </row>
    <row r="1360" spans="2:19" s="68" customFormat="1" ht="12.75" hidden="1">
      <c r="B1360" s="11">
        <v>6751</v>
      </c>
      <c r="C1360" s="36"/>
      <c r="D1360" s="36"/>
      <c r="E1360" s="69" t="s">
        <v>929</v>
      </c>
      <c r="F1360" s="81"/>
      <c r="G1360" s="81">
        <v>0</v>
      </c>
      <c r="H1360" s="81">
        <v>1543.19</v>
      </c>
      <c r="I1360" s="71">
        <v>0</v>
      </c>
      <c r="J1360" s="72">
        <v>0</v>
      </c>
      <c r="K1360" s="72">
        <v>0</v>
      </c>
      <c r="L1360" s="72">
        <v>0</v>
      </c>
      <c r="M1360" s="72">
        <v>0</v>
      </c>
      <c r="N1360" s="72">
        <v>0</v>
      </c>
      <c r="O1360" s="72">
        <v>0</v>
      </c>
      <c r="P1360" s="72">
        <v>0</v>
      </c>
      <c r="Q1360" s="72">
        <v>0</v>
      </c>
      <c r="R1360" s="72">
        <v>0</v>
      </c>
      <c r="S1360" s="79"/>
    </row>
    <row r="1361" spans="2:19" s="68" customFormat="1" ht="12.75" hidden="1">
      <c r="B1361" s="15"/>
      <c r="C1361" s="39"/>
      <c r="D1361" s="39"/>
      <c r="E1361" s="20" t="s">
        <v>1563</v>
      </c>
      <c r="F1361" s="78">
        <f aca="true" t="shared" si="296" ref="F1361:L1361">SUM(F1360:F1360)</f>
        <v>0</v>
      </c>
      <c r="G1361" s="78">
        <f t="shared" si="296"/>
        <v>0</v>
      </c>
      <c r="H1361" s="78">
        <f t="shared" si="296"/>
        <v>1543.19</v>
      </c>
      <c r="I1361" s="74">
        <f t="shared" si="296"/>
        <v>0</v>
      </c>
      <c r="J1361" s="75">
        <f t="shared" si="296"/>
        <v>0</v>
      </c>
      <c r="K1361" s="75">
        <f t="shared" si="296"/>
        <v>0</v>
      </c>
      <c r="L1361" s="76">
        <f t="shared" si="296"/>
        <v>0</v>
      </c>
      <c r="M1361" s="76">
        <f aca="true" t="shared" si="297" ref="M1361:R1361">SUM(M1360:M1360)</f>
        <v>0</v>
      </c>
      <c r="N1361" s="76">
        <f t="shared" si="297"/>
        <v>0</v>
      </c>
      <c r="O1361" s="76">
        <f t="shared" si="297"/>
        <v>0</v>
      </c>
      <c r="P1361" s="76">
        <f t="shared" si="297"/>
        <v>0</v>
      </c>
      <c r="Q1361" s="76">
        <f t="shared" si="297"/>
        <v>0</v>
      </c>
      <c r="R1361" s="76">
        <f t="shared" si="297"/>
        <v>0</v>
      </c>
      <c r="S1361" s="79"/>
    </row>
    <row r="1362" spans="2:19" s="68" customFormat="1" ht="12.75" hidden="1">
      <c r="B1362" s="11"/>
      <c r="C1362" s="36"/>
      <c r="D1362" s="36"/>
      <c r="E1362" s="69"/>
      <c r="F1362" s="70"/>
      <c r="G1362" s="70"/>
      <c r="H1362" s="70"/>
      <c r="I1362" s="79"/>
      <c r="J1362" s="80"/>
      <c r="K1362" s="79"/>
      <c r="L1362" s="80"/>
      <c r="M1362" s="80"/>
      <c r="N1362" s="80"/>
      <c r="O1362" s="80"/>
      <c r="P1362" s="80"/>
      <c r="Q1362" s="80"/>
      <c r="R1362" s="80"/>
      <c r="S1362" s="79"/>
    </row>
    <row r="1363" spans="2:19" s="68" customFormat="1" ht="12.75">
      <c r="B1363" s="15"/>
      <c r="C1363" s="39"/>
      <c r="D1363" s="39"/>
      <c r="E1363" s="2" t="s">
        <v>1564</v>
      </c>
      <c r="F1363" s="73" t="e">
        <f>+SUM(F1349+F1358+#REF!)</f>
        <v>#REF!</v>
      </c>
      <c r="G1363" s="73" t="e">
        <f>+SUM(G1349+G1358+#REF!)</f>
        <v>#REF!</v>
      </c>
      <c r="H1363" s="73" t="e">
        <f>+SUM(H1349+H1358+#REF!+H1361)</f>
        <v>#REF!</v>
      </c>
      <c r="I1363" s="75" t="e">
        <f>+SUM(I1349+I1358+#REF!)</f>
        <v>#REF!</v>
      </c>
      <c r="J1363" s="75" t="e">
        <f>+SUM(J1349+J1358+#REF!)</f>
        <v>#REF!</v>
      </c>
      <c r="K1363" s="75" t="e">
        <f>+SUM(K1349+K1358+#REF!)</f>
        <v>#REF!</v>
      </c>
      <c r="L1363" s="76">
        <f>SUM(L1346:L1358)/2</f>
        <v>26245.789999999997</v>
      </c>
      <c r="M1363" s="76">
        <f aca="true" t="shared" si="298" ref="M1363:R1363">SUM(M1346:M1358)/2</f>
        <v>32627.09</v>
      </c>
      <c r="N1363" s="76">
        <f t="shared" si="298"/>
        <v>37071.31999999999</v>
      </c>
      <c r="O1363" s="76">
        <f t="shared" si="298"/>
        <v>44580</v>
      </c>
      <c r="P1363" s="76">
        <f t="shared" si="298"/>
        <v>38954</v>
      </c>
      <c r="Q1363" s="76">
        <f t="shared" si="298"/>
        <v>42770</v>
      </c>
      <c r="R1363" s="76">
        <f t="shared" si="298"/>
        <v>0</v>
      </c>
      <c r="S1363" s="79"/>
    </row>
    <row r="1364" spans="2:19" s="68" customFormat="1" ht="12.75">
      <c r="B1364" s="15"/>
      <c r="C1364" s="39"/>
      <c r="D1364" s="39"/>
      <c r="E1364" s="2"/>
      <c r="F1364" s="73"/>
      <c r="G1364" s="73"/>
      <c r="H1364" s="73"/>
      <c r="I1364" s="75"/>
      <c r="J1364" s="75"/>
      <c r="K1364" s="75"/>
      <c r="L1364" s="76"/>
      <c r="M1364" s="76"/>
      <c r="N1364" s="76"/>
      <c r="O1364" s="76"/>
      <c r="P1364" s="76"/>
      <c r="Q1364" s="76"/>
      <c r="R1364" s="76"/>
      <c r="S1364" s="79"/>
    </row>
    <row r="1365" spans="2:19" s="68" customFormat="1" ht="12.75">
      <c r="B1365" s="15"/>
      <c r="C1365" s="39"/>
      <c r="D1365" s="39"/>
      <c r="E1365" s="2"/>
      <c r="F1365" s="73"/>
      <c r="G1365" s="73"/>
      <c r="H1365" s="73"/>
      <c r="I1365" s="75"/>
      <c r="J1365" s="75"/>
      <c r="K1365" s="75"/>
      <c r="L1365" s="76"/>
      <c r="M1365" s="76"/>
      <c r="N1365" s="76"/>
      <c r="O1365" s="76"/>
      <c r="P1365" s="76"/>
      <c r="Q1365" s="76"/>
      <c r="R1365" s="76"/>
      <c r="S1365" s="79"/>
    </row>
    <row r="1366" spans="5:18" ht="12.75">
      <c r="E1366" s="2"/>
      <c r="F1366" s="31"/>
      <c r="G1366" s="31"/>
      <c r="H1366" s="31"/>
      <c r="I1366" s="28"/>
      <c r="J1366" s="28"/>
      <c r="K1366" s="28"/>
      <c r="L1366" s="32"/>
      <c r="M1366" s="32"/>
      <c r="N1366" s="32"/>
      <c r="O1366" s="32"/>
      <c r="P1366" s="32"/>
      <c r="Q1366" s="32"/>
      <c r="R1366" s="32"/>
    </row>
    <row r="1367" spans="3:18" ht="12.75">
      <c r="C1367" s="196">
        <v>12441</v>
      </c>
      <c r="D1367" s="196"/>
      <c r="E1367" s="163" t="s">
        <v>921</v>
      </c>
      <c r="F1367" s="31"/>
      <c r="G1367" s="31"/>
      <c r="H1367" s="31"/>
      <c r="I1367" s="28"/>
      <c r="J1367" s="28"/>
      <c r="K1367" s="28"/>
      <c r="L1367" s="32"/>
      <c r="M1367" s="32"/>
      <c r="N1367" s="32"/>
      <c r="O1367" s="32"/>
      <c r="P1367" s="32"/>
      <c r="Q1367" s="32"/>
      <c r="R1367" s="32"/>
    </row>
    <row r="1368" spans="2:17" ht="12.75">
      <c r="B1368" s="11">
        <v>6610</v>
      </c>
      <c r="C1368" s="36">
        <v>511100</v>
      </c>
      <c r="E1368" s="34" t="s">
        <v>2370</v>
      </c>
      <c r="F1368" s="31"/>
      <c r="G1368" s="31"/>
      <c r="H1368" s="31"/>
      <c r="I1368" s="28"/>
      <c r="J1368" s="28"/>
      <c r="K1368" s="28"/>
      <c r="L1368" s="9">
        <v>4166.7</v>
      </c>
      <c r="M1368" s="9">
        <v>1666.68</v>
      </c>
      <c r="N1368" s="9">
        <v>5000.04</v>
      </c>
      <c r="O1368" s="9">
        <v>5000</v>
      </c>
      <c r="P1368" s="9">
        <v>5000</v>
      </c>
      <c r="Q1368" s="9">
        <v>5000</v>
      </c>
    </row>
    <row r="1369" spans="2:19" s="47" customFormat="1" ht="12.75">
      <c r="B1369" s="65"/>
      <c r="C1369" s="41"/>
      <c r="D1369" s="41"/>
      <c r="E1369" s="42" t="s">
        <v>2187</v>
      </c>
      <c r="F1369" s="25"/>
      <c r="G1369" s="25"/>
      <c r="H1369" s="25"/>
      <c r="I1369" s="23"/>
      <c r="J1369" s="23"/>
      <c r="K1369" s="23"/>
      <c r="L1369" s="7">
        <f aca="true" t="shared" si="299" ref="L1369:R1369">SUM(L1368)</f>
        <v>4166.7</v>
      </c>
      <c r="M1369" s="7">
        <f t="shared" si="299"/>
        <v>1666.68</v>
      </c>
      <c r="N1369" s="7">
        <f t="shared" si="299"/>
        <v>5000.04</v>
      </c>
      <c r="O1369" s="7">
        <f t="shared" si="299"/>
        <v>5000</v>
      </c>
      <c r="P1369" s="7">
        <f t="shared" si="299"/>
        <v>5000</v>
      </c>
      <c r="Q1369" s="7">
        <f t="shared" si="299"/>
        <v>5000</v>
      </c>
      <c r="R1369" s="7">
        <f t="shared" si="299"/>
        <v>0</v>
      </c>
      <c r="S1369" s="158"/>
    </row>
    <row r="1370" spans="3:11" ht="12.75">
      <c r="C1370" s="196">
        <v>12442</v>
      </c>
      <c r="D1370" s="196"/>
      <c r="E1370" s="34"/>
      <c r="F1370" s="31"/>
      <c r="G1370" s="31"/>
      <c r="H1370" s="31"/>
      <c r="I1370" s="28"/>
      <c r="J1370" s="28"/>
      <c r="K1370" s="28"/>
    </row>
    <row r="1371" spans="2:17" ht="12.75">
      <c r="B1371" s="11">
        <v>6615.5</v>
      </c>
      <c r="C1371" s="36">
        <v>531700</v>
      </c>
      <c r="E1371" s="34" t="s">
        <v>1325</v>
      </c>
      <c r="F1371" s="31"/>
      <c r="G1371" s="31"/>
      <c r="H1371" s="31"/>
      <c r="I1371" s="28"/>
      <c r="J1371" s="28"/>
      <c r="K1371" s="28"/>
      <c r="M1371" s="9">
        <v>150</v>
      </c>
      <c r="N1371" s="9">
        <v>106.15</v>
      </c>
      <c r="O1371" s="9">
        <v>150</v>
      </c>
      <c r="P1371" s="9">
        <v>150</v>
      </c>
      <c r="Q1371" s="9">
        <v>200</v>
      </c>
    </row>
    <row r="1372" spans="2:17" ht="12.75">
      <c r="B1372" s="11">
        <v>6614</v>
      </c>
      <c r="C1372" s="36">
        <v>558000</v>
      </c>
      <c r="E1372" s="34" t="s">
        <v>911</v>
      </c>
      <c r="F1372" s="31"/>
      <c r="G1372" s="31"/>
      <c r="H1372" s="31"/>
      <c r="I1372" s="28"/>
      <c r="J1372" s="28"/>
      <c r="K1372" s="28"/>
      <c r="L1372" s="9">
        <v>2417.67</v>
      </c>
      <c r="M1372" s="9">
        <v>148.5</v>
      </c>
      <c r="N1372" s="9">
        <v>160</v>
      </c>
      <c r="O1372" s="9">
        <v>150</v>
      </c>
      <c r="P1372" s="9">
        <v>150</v>
      </c>
      <c r="Q1372" s="9">
        <v>250</v>
      </c>
    </row>
    <row r="1373" spans="2:17" ht="12.75">
      <c r="B1373" s="11">
        <v>6615</v>
      </c>
      <c r="C1373" s="36">
        <v>573000</v>
      </c>
      <c r="E1373" s="34" t="s">
        <v>1324</v>
      </c>
      <c r="F1373" s="31"/>
      <c r="G1373" s="31"/>
      <c r="H1373" s="31"/>
      <c r="I1373" s="28"/>
      <c r="J1373" s="28"/>
      <c r="K1373" s="28"/>
      <c r="M1373" s="9">
        <v>123.52</v>
      </c>
      <c r="N1373" s="9">
        <v>130</v>
      </c>
      <c r="O1373" s="9">
        <v>130</v>
      </c>
      <c r="P1373" s="9">
        <v>130</v>
      </c>
      <c r="Q1373" s="9">
        <v>130</v>
      </c>
    </row>
    <row r="1374" spans="2:19" s="47" customFormat="1" ht="12.75">
      <c r="B1374" s="65"/>
      <c r="C1374" s="41"/>
      <c r="D1374" s="41"/>
      <c r="E1374" s="42" t="s">
        <v>915</v>
      </c>
      <c r="F1374" s="25"/>
      <c r="G1374" s="25"/>
      <c r="H1374" s="25"/>
      <c r="I1374" s="23"/>
      <c r="J1374" s="23"/>
      <c r="K1374" s="23"/>
      <c r="L1374" s="7">
        <f aca="true" t="shared" si="300" ref="L1374:R1374">SUM(L1371:L1373)</f>
        <v>2417.67</v>
      </c>
      <c r="M1374" s="7">
        <f t="shared" si="300"/>
        <v>422.02</v>
      </c>
      <c r="N1374" s="7">
        <f t="shared" si="300"/>
        <v>396.15</v>
      </c>
      <c r="O1374" s="7">
        <f t="shared" si="300"/>
        <v>430</v>
      </c>
      <c r="P1374" s="7">
        <f t="shared" si="300"/>
        <v>430</v>
      </c>
      <c r="Q1374" s="7">
        <f t="shared" si="300"/>
        <v>580</v>
      </c>
      <c r="R1374" s="7">
        <f t="shared" si="300"/>
        <v>0</v>
      </c>
      <c r="S1374" s="158"/>
    </row>
    <row r="1375" spans="5:18" ht="12.75">
      <c r="E1375" s="34"/>
      <c r="F1375" s="31"/>
      <c r="G1375" s="31"/>
      <c r="H1375" s="31"/>
      <c r="I1375" s="28"/>
      <c r="J1375" s="28"/>
      <c r="K1375" s="28"/>
      <c r="L1375" s="32"/>
      <c r="M1375" s="32"/>
      <c r="N1375" s="32"/>
      <c r="O1375" s="32"/>
      <c r="P1375" s="32"/>
      <c r="Q1375" s="32"/>
      <c r="R1375" s="32"/>
    </row>
    <row r="1376" spans="2:19" s="47" customFormat="1" ht="12.75">
      <c r="B1376" s="65"/>
      <c r="C1376" s="41"/>
      <c r="D1376" s="41"/>
      <c r="E1376" s="42" t="s">
        <v>922</v>
      </c>
      <c r="F1376" s="23">
        <f aca="true" t="shared" si="301" ref="F1376:L1376">SUM(F1374+F1369)</f>
        <v>0</v>
      </c>
      <c r="G1376" s="23">
        <f t="shared" si="301"/>
        <v>0</v>
      </c>
      <c r="H1376" s="23">
        <f t="shared" si="301"/>
        <v>0</v>
      </c>
      <c r="I1376" s="23">
        <f t="shared" si="301"/>
        <v>0</v>
      </c>
      <c r="J1376" s="23">
        <f t="shared" si="301"/>
        <v>0</v>
      </c>
      <c r="K1376" s="23">
        <f t="shared" si="301"/>
        <v>0</v>
      </c>
      <c r="L1376" s="23">
        <f t="shared" si="301"/>
        <v>6584.37</v>
      </c>
      <c r="M1376" s="23">
        <f aca="true" t="shared" si="302" ref="M1376:R1376">SUM(M1374+M1369)</f>
        <v>2088.7</v>
      </c>
      <c r="N1376" s="23">
        <f t="shared" si="302"/>
        <v>5396.19</v>
      </c>
      <c r="O1376" s="23">
        <f t="shared" si="302"/>
        <v>5430</v>
      </c>
      <c r="P1376" s="23">
        <f t="shared" si="302"/>
        <v>5430</v>
      </c>
      <c r="Q1376" s="23">
        <f t="shared" si="302"/>
        <v>5580</v>
      </c>
      <c r="R1376" s="23">
        <f t="shared" si="302"/>
        <v>0</v>
      </c>
      <c r="S1376" s="158"/>
    </row>
    <row r="1377" spans="5:11" ht="12.75">
      <c r="E1377" s="2"/>
      <c r="F1377" s="31"/>
      <c r="G1377" s="31"/>
      <c r="H1377" s="31"/>
      <c r="I1377" s="28"/>
      <c r="J1377" s="28"/>
      <c r="K1377" s="28"/>
    </row>
    <row r="1378" spans="2:19" s="47" customFormat="1" ht="12.75">
      <c r="B1378" s="65"/>
      <c r="C1378" s="41"/>
      <c r="D1378" s="41"/>
      <c r="E1378" s="55" t="s">
        <v>2316</v>
      </c>
      <c r="F1378" s="23" t="e">
        <f aca="true" t="shared" si="303" ref="F1378:R1378">SUM(F1315+F1341+F1363+F1376)</f>
        <v>#REF!</v>
      </c>
      <c r="G1378" s="23" t="e">
        <f t="shared" si="303"/>
        <v>#REF!</v>
      </c>
      <c r="H1378" s="23" t="e">
        <f t="shared" si="303"/>
        <v>#REF!</v>
      </c>
      <c r="I1378" s="23" t="e">
        <f t="shared" si="303"/>
        <v>#REF!</v>
      </c>
      <c r="J1378" s="23" t="e">
        <f t="shared" si="303"/>
        <v>#REF!</v>
      </c>
      <c r="K1378" s="23" t="e">
        <f t="shared" si="303"/>
        <v>#REF!</v>
      </c>
      <c r="L1378" s="23">
        <f t="shared" si="303"/>
        <v>312424.715</v>
      </c>
      <c r="M1378" s="23">
        <f t="shared" si="303"/>
        <v>306525.58</v>
      </c>
      <c r="N1378" s="23">
        <f t="shared" si="303"/>
        <v>357303.10000000003</v>
      </c>
      <c r="O1378" s="23">
        <f t="shared" si="303"/>
        <v>402333</v>
      </c>
      <c r="P1378" s="23">
        <f t="shared" si="303"/>
        <v>388868</v>
      </c>
      <c r="Q1378" s="23">
        <f t="shared" si="303"/>
        <v>428774</v>
      </c>
      <c r="R1378" s="23">
        <f t="shared" si="303"/>
        <v>0</v>
      </c>
      <c r="S1378" s="158"/>
    </row>
    <row r="1380" spans="1:5" ht="12.75">
      <c r="A1380" s="3" t="s">
        <v>2180</v>
      </c>
      <c r="C1380" s="196">
        <v>15411</v>
      </c>
      <c r="D1380" s="196"/>
      <c r="E1380" s="163" t="s">
        <v>1482</v>
      </c>
    </row>
    <row r="1381" spans="1:17" ht="12.75">
      <c r="A1381" s="3" t="s">
        <v>1483</v>
      </c>
      <c r="B1381" s="11" t="s">
        <v>1484</v>
      </c>
      <c r="C1381" s="36">
        <v>511000</v>
      </c>
      <c r="E1381" s="3" t="s">
        <v>2363</v>
      </c>
      <c r="F1381" s="19">
        <v>144743</v>
      </c>
      <c r="G1381" s="19">
        <v>177114.67</v>
      </c>
      <c r="H1381" s="19">
        <v>160338.77</v>
      </c>
      <c r="I1381" s="10">
        <v>175766.99</v>
      </c>
      <c r="J1381" s="9">
        <v>192253</v>
      </c>
      <c r="K1381" s="10">
        <v>204950.97</v>
      </c>
      <c r="L1381" s="9">
        <v>182769.62</v>
      </c>
      <c r="M1381" s="9">
        <v>169038.39</v>
      </c>
      <c r="N1381" s="9">
        <v>173742.52</v>
      </c>
      <c r="O1381" s="9">
        <v>180887</v>
      </c>
      <c r="P1381" s="9">
        <v>182887</v>
      </c>
      <c r="Q1381" s="9">
        <v>183889</v>
      </c>
    </row>
    <row r="1382" spans="1:17" ht="12.75">
      <c r="A1382" s="3" t="s">
        <v>1485</v>
      </c>
      <c r="B1382" s="11" t="s">
        <v>1486</v>
      </c>
      <c r="C1382" s="36">
        <v>511100</v>
      </c>
      <c r="E1382" s="3" t="s">
        <v>2370</v>
      </c>
      <c r="F1382" s="19">
        <v>44856</v>
      </c>
      <c r="G1382" s="19">
        <v>35030.46</v>
      </c>
      <c r="H1382" s="19">
        <v>36849.8</v>
      </c>
      <c r="I1382" s="10">
        <v>49590.24</v>
      </c>
      <c r="J1382" s="9">
        <v>66824.9</v>
      </c>
      <c r="K1382" s="10">
        <v>58290.33</v>
      </c>
      <c r="L1382" s="9">
        <v>78858.44</v>
      </c>
      <c r="M1382" s="9">
        <v>90109.85</v>
      </c>
      <c r="N1382" s="9">
        <v>108335.16</v>
      </c>
      <c r="O1382" s="9">
        <v>114853</v>
      </c>
      <c r="P1382" s="9">
        <v>115553</v>
      </c>
      <c r="Q1382" s="9">
        <v>120100</v>
      </c>
    </row>
    <row r="1383" spans="1:17" ht="12.75">
      <c r="A1383" s="3" t="s">
        <v>1491</v>
      </c>
      <c r="B1383" s="11" t="s">
        <v>1492</v>
      </c>
      <c r="C1383" s="36">
        <v>517000</v>
      </c>
      <c r="E1383" s="3" t="s">
        <v>2222</v>
      </c>
      <c r="F1383" s="19">
        <v>8794</v>
      </c>
      <c r="G1383" s="19">
        <v>9838</v>
      </c>
      <c r="H1383" s="19">
        <v>17000</v>
      </c>
      <c r="I1383" s="10">
        <v>16403</v>
      </c>
      <c r="J1383" s="9">
        <v>35053</v>
      </c>
      <c r="K1383" s="10">
        <v>46607</v>
      </c>
      <c r="L1383" s="9">
        <v>51800</v>
      </c>
      <c r="M1383" s="9">
        <v>50826</v>
      </c>
      <c r="N1383" s="9">
        <v>55297</v>
      </c>
      <c r="O1383" s="9">
        <v>62404</v>
      </c>
      <c r="P1383" s="9">
        <v>62404</v>
      </c>
      <c r="Q1383" s="9">
        <v>56767</v>
      </c>
    </row>
    <row r="1384" spans="1:12" ht="12.75" hidden="1">
      <c r="A1384" s="3" t="s">
        <v>1489</v>
      </c>
      <c r="B1384" s="11" t="s">
        <v>1490</v>
      </c>
      <c r="E1384" s="3" t="s">
        <v>2219</v>
      </c>
      <c r="F1384" s="19">
        <v>48</v>
      </c>
      <c r="G1384" s="19">
        <v>48</v>
      </c>
      <c r="H1384" s="19">
        <v>48</v>
      </c>
      <c r="I1384" s="10">
        <v>0</v>
      </c>
      <c r="J1384" s="9">
        <v>0</v>
      </c>
      <c r="K1384" s="10">
        <v>0</v>
      </c>
      <c r="L1384" s="9">
        <v>0</v>
      </c>
    </row>
    <row r="1385" spans="1:17" ht="12.75">
      <c r="A1385" s="3" t="s">
        <v>1487</v>
      </c>
      <c r="B1385" s="11" t="s">
        <v>1488</v>
      </c>
      <c r="C1385" s="36">
        <v>517200</v>
      </c>
      <c r="E1385" s="3" t="s">
        <v>2291</v>
      </c>
      <c r="F1385" s="19">
        <v>206</v>
      </c>
      <c r="G1385" s="19">
        <v>155</v>
      </c>
      <c r="H1385" s="19">
        <v>155</v>
      </c>
      <c r="I1385" s="10">
        <v>155</v>
      </c>
      <c r="J1385" s="9">
        <v>155</v>
      </c>
      <c r="K1385" s="10">
        <v>155</v>
      </c>
      <c r="L1385" s="9">
        <v>155</v>
      </c>
      <c r="M1385" s="9">
        <v>1203</v>
      </c>
      <c r="N1385" s="9">
        <v>1152</v>
      </c>
      <c r="O1385" s="9">
        <v>1094</v>
      </c>
      <c r="P1385" s="9">
        <v>1094</v>
      </c>
      <c r="Q1385" s="9">
        <v>1149</v>
      </c>
    </row>
    <row r="1386" spans="1:17" ht="12.75">
      <c r="A1386" s="3" t="s">
        <v>1493</v>
      </c>
      <c r="B1386" s="11" t="s">
        <v>1494</v>
      </c>
      <c r="C1386" s="36">
        <v>517800</v>
      </c>
      <c r="E1386" s="3" t="s">
        <v>2298</v>
      </c>
      <c r="F1386" s="19">
        <v>2207</v>
      </c>
      <c r="G1386" s="19">
        <v>2830</v>
      </c>
      <c r="H1386" s="19">
        <v>3439</v>
      </c>
      <c r="I1386" s="10">
        <v>4080</v>
      </c>
      <c r="J1386" s="9">
        <v>3370</v>
      </c>
      <c r="K1386" s="10">
        <v>3690</v>
      </c>
      <c r="L1386" s="9">
        <v>3690</v>
      </c>
      <c r="M1386" s="9">
        <v>4347</v>
      </c>
      <c r="N1386" s="9">
        <v>3683</v>
      </c>
      <c r="O1386" s="9">
        <v>3677</v>
      </c>
      <c r="P1386" s="9">
        <v>3677</v>
      </c>
      <c r="Q1386" s="9">
        <v>4236</v>
      </c>
    </row>
    <row r="1387" spans="5:18" ht="12.75">
      <c r="E1387" s="20" t="s">
        <v>2187</v>
      </c>
      <c r="F1387" s="21">
        <f aca="true" t="shared" si="304" ref="F1387:L1387">SUM(F1381:F1386)</f>
        <v>200854</v>
      </c>
      <c r="G1387" s="21">
        <f t="shared" si="304"/>
        <v>225016.13</v>
      </c>
      <c r="H1387" s="21">
        <f t="shared" si="304"/>
        <v>217830.57</v>
      </c>
      <c r="I1387" s="22">
        <f t="shared" si="304"/>
        <v>245995.22999999998</v>
      </c>
      <c r="J1387" s="23">
        <f t="shared" si="304"/>
        <v>297655.9</v>
      </c>
      <c r="K1387" s="23">
        <f t="shared" si="304"/>
        <v>313693.3</v>
      </c>
      <c r="L1387" s="7">
        <f t="shared" si="304"/>
        <v>317273.06</v>
      </c>
      <c r="M1387" s="7">
        <f aca="true" t="shared" si="305" ref="M1387:R1387">SUM(M1381:M1386)</f>
        <v>315524.24</v>
      </c>
      <c r="N1387" s="7">
        <f t="shared" si="305"/>
        <v>342209.68</v>
      </c>
      <c r="O1387" s="7">
        <f t="shared" si="305"/>
        <v>362915</v>
      </c>
      <c r="P1387" s="7">
        <f t="shared" si="305"/>
        <v>365615</v>
      </c>
      <c r="Q1387" s="7">
        <f t="shared" si="305"/>
        <v>366141</v>
      </c>
      <c r="R1387" s="7">
        <f t="shared" si="305"/>
        <v>0</v>
      </c>
    </row>
    <row r="1388" spans="3:9" ht="12.75">
      <c r="C1388" s="196">
        <v>15412</v>
      </c>
      <c r="D1388" s="196"/>
      <c r="I1388" s="10"/>
    </row>
    <row r="1389" spans="1:17" ht="12.75">
      <c r="A1389" s="3" t="s">
        <v>1495</v>
      </c>
      <c r="B1389" s="11" t="s">
        <v>1496</v>
      </c>
      <c r="C1389" s="36">
        <v>524400</v>
      </c>
      <c r="E1389" s="3" t="s">
        <v>1497</v>
      </c>
      <c r="F1389" s="19">
        <v>5812</v>
      </c>
      <c r="G1389" s="19">
        <v>5720.29</v>
      </c>
      <c r="H1389" s="19">
        <v>6025.59</v>
      </c>
      <c r="I1389" s="10">
        <v>4879.51</v>
      </c>
      <c r="J1389" s="9">
        <v>2802</v>
      </c>
      <c r="K1389" s="10">
        <v>3991.64</v>
      </c>
      <c r="L1389" s="9">
        <v>3814.29</v>
      </c>
      <c r="M1389" s="9">
        <v>1748.21</v>
      </c>
      <c r="N1389" s="9">
        <v>4012.67</v>
      </c>
      <c r="O1389" s="9">
        <v>3500</v>
      </c>
      <c r="P1389" s="9">
        <v>4200</v>
      </c>
      <c r="Q1389" s="9">
        <v>4200</v>
      </c>
    </row>
    <row r="1390" spans="1:17" ht="12.75">
      <c r="A1390" s="3" t="s">
        <v>1498</v>
      </c>
      <c r="B1390" s="11" t="s">
        <v>1499</v>
      </c>
      <c r="C1390" s="36">
        <v>527100</v>
      </c>
      <c r="E1390" s="3" t="s">
        <v>1500</v>
      </c>
      <c r="F1390" s="19">
        <v>12080</v>
      </c>
      <c r="G1390" s="19">
        <v>72000</v>
      </c>
      <c r="H1390" s="19">
        <v>72000</v>
      </c>
      <c r="I1390" s="10">
        <v>72000</v>
      </c>
      <c r="J1390" s="9">
        <v>72000</v>
      </c>
      <c r="K1390" s="10">
        <v>73200</v>
      </c>
      <c r="L1390" s="9">
        <v>86400</v>
      </c>
      <c r="M1390" s="9">
        <v>87900</v>
      </c>
      <c r="N1390" s="9">
        <v>86667</v>
      </c>
      <c r="O1390" s="9">
        <f>90000-40000</f>
        <v>50000</v>
      </c>
      <c r="P1390" s="9">
        <v>50000</v>
      </c>
      <c r="Q1390" s="9">
        <v>50000</v>
      </c>
    </row>
    <row r="1391" spans="2:17" ht="12.75">
      <c r="B1391" s="40">
        <v>6695.1</v>
      </c>
      <c r="C1391" s="36">
        <v>527200</v>
      </c>
      <c r="E1391" s="3" t="s">
        <v>1807</v>
      </c>
      <c r="I1391" s="10"/>
      <c r="K1391" s="10"/>
      <c r="L1391" s="9">
        <v>2962.94</v>
      </c>
      <c r="M1391" s="9">
        <v>1553.65</v>
      </c>
      <c r="N1391" s="9">
        <v>2130.31</v>
      </c>
      <c r="O1391" s="9">
        <v>3000</v>
      </c>
      <c r="P1391" s="9">
        <v>3000</v>
      </c>
      <c r="Q1391" s="9">
        <v>3000</v>
      </c>
    </row>
    <row r="1392" spans="1:17" ht="12.75">
      <c r="A1392" s="3" t="s">
        <v>1508</v>
      </c>
      <c r="B1392" s="11" t="s">
        <v>1509</v>
      </c>
      <c r="C1392" s="36">
        <v>530000</v>
      </c>
      <c r="E1392" s="3" t="s">
        <v>1806</v>
      </c>
      <c r="F1392" s="19">
        <v>2269</v>
      </c>
      <c r="G1392" s="19">
        <v>2748.98</v>
      </c>
      <c r="H1392" s="19">
        <v>2544.71</v>
      </c>
      <c r="I1392" s="10">
        <v>4481.25</v>
      </c>
      <c r="J1392" s="9">
        <v>2368</v>
      </c>
      <c r="K1392" s="10">
        <v>3089.62</v>
      </c>
      <c r="L1392" s="9">
        <v>22897.95</v>
      </c>
      <c r="M1392" s="9">
        <v>14162.73</v>
      </c>
      <c r="N1392" s="9">
        <v>1487.42</v>
      </c>
      <c r="O1392" s="9">
        <v>6000</v>
      </c>
      <c r="P1392" s="9">
        <v>6000</v>
      </c>
      <c r="Q1392" s="9">
        <v>6000</v>
      </c>
    </row>
    <row r="1393" spans="2:15" ht="12.75">
      <c r="B1393" s="11" t="s">
        <v>1857</v>
      </c>
      <c r="C1393" s="36">
        <v>530000</v>
      </c>
      <c r="E1393" s="3" t="s">
        <v>912</v>
      </c>
      <c r="F1393" s="19">
        <v>18538</v>
      </c>
      <c r="G1393" s="19">
        <v>13969.83</v>
      </c>
      <c r="H1393" s="19">
        <v>22950.61</v>
      </c>
      <c r="I1393" s="10" t="s">
        <v>2180</v>
      </c>
      <c r="J1393" s="9" t="s">
        <v>2180</v>
      </c>
      <c r="K1393" s="10" t="s">
        <v>2180</v>
      </c>
      <c r="L1393" s="9">
        <v>18599.5</v>
      </c>
      <c r="M1393" s="9">
        <v>19108.56</v>
      </c>
      <c r="N1393" s="9">
        <v>1717.37</v>
      </c>
      <c r="O1393" s="9">
        <v>0</v>
      </c>
    </row>
    <row r="1394" spans="1:17" ht="12.75">
      <c r="A1394" s="3" t="s">
        <v>1511</v>
      </c>
      <c r="B1394" s="11" t="s">
        <v>1512</v>
      </c>
      <c r="C1394" s="36">
        <v>530000</v>
      </c>
      <c r="E1394" s="3" t="s">
        <v>1513</v>
      </c>
      <c r="F1394" s="19">
        <v>250</v>
      </c>
      <c r="G1394" s="19">
        <v>250</v>
      </c>
      <c r="H1394" s="19">
        <v>250</v>
      </c>
      <c r="I1394" s="10">
        <v>250</v>
      </c>
      <c r="J1394" s="9">
        <v>250</v>
      </c>
      <c r="K1394" s="10">
        <v>250</v>
      </c>
      <c r="L1394" s="9">
        <v>250</v>
      </c>
      <c r="M1394" s="9">
        <v>500</v>
      </c>
      <c r="N1394" s="9">
        <v>250</v>
      </c>
      <c r="O1394" s="9">
        <v>250</v>
      </c>
      <c r="P1394" s="9">
        <v>250</v>
      </c>
      <c r="Q1394" s="9">
        <v>250</v>
      </c>
    </row>
    <row r="1395" spans="1:17" ht="12.75">
      <c r="A1395" s="3" t="s">
        <v>1506</v>
      </c>
      <c r="B1395" s="11" t="s">
        <v>1507</v>
      </c>
      <c r="C1395" s="36">
        <v>534500</v>
      </c>
      <c r="E1395" s="3" t="s">
        <v>2195</v>
      </c>
      <c r="F1395" s="19">
        <v>250</v>
      </c>
      <c r="G1395" s="19">
        <v>286.4</v>
      </c>
      <c r="H1395" s="19">
        <v>131.43</v>
      </c>
      <c r="I1395" s="10">
        <v>28.64</v>
      </c>
      <c r="J1395" s="9">
        <v>250</v>
      </c>
      <c r="K1395" s="10">
        <v>0</v>
      </c>
      <c r="L1395" s="9">
        <v>37</v>
      </c>
      <c r="M1395" s="9">
        <v>37</v>
      </c>
      <c r="N1395" s="9">
        <v>37.9</v>
      </c>
      <c r="O1395" s="9">
        <v>250</v>
      </c>
      <c r="P1395" s="9">
        <v>250</v>
      </c>
      <c r="Q1395" s="9">
        <v>250</v>
      </c>
    </row>
    <row r="1396" spans="1:17" ht="12.75">
      <c r="A1396" s="3" t="s">
        <v>1504</v>
      </c>
      <c r="B1396" s="11" t="s">
        <v>1505</v>
      </c>
      <c r="C1396" s="36">
        <v>534600</v>
      </c>
      <c r="E1396" s="3" t="s">
        <v>2249</v>
      </c>
      <c r="F1396" s="19">
        <v>200</v>
      </c>
      <c r="G1396" s="19">
        <v>381.72</v>
      </c>
      <c r="H1396" s="19">
        <v>80</v>
      </c>
      <c r="I1396" s="10">
        <v>254</v>
      </c>
      <c r="J1396" s="9">
        <v>0</v>
      </c>
      <c r="K1396" s="10">
        <v>0</v>
      </c>
      <c r="L1396" s="9">
        <v>0</v>
      </c>
      <c r="N1396" s="9">
        <v>0</v>
      </c>
      <c r="O1396" s="9">
        <v>250</v>
      </c>
      <c r="P1396" s="9">
        <v>250</v>
      </c>
      <c r="Q1396" s="9">
        <v>250</v>
      </c>
    </row>
    <row r="1397" spans="1:17" ht="12.75">
      <c r="A1397" s="3" t="s">
        <v>1514</v>
      </c>
      <c r="B1397" s="11" t="s">
        <v>1515</v>
      </c>
      <c r="C1397" s="36">
        <v>542100</v>
      </c>
      <c r="E1397" s="3" t="s">
        <v>2335</v>
      </c>
      <c r="F1397" s="19">
        <v>569</v>
      </c>
      <c r="G1397" s="19">
        <v>655.4</v>
      </c>
      <c r="H1397" s="19">
        <v>1351.11</v>
      </c>
      <c r="I1397" s="10">
        <v>438.75</v>
      </c>
      <c r="J1397" s="9">
        <v>418.59</v>
      </c>
      <c r="K1397" s="10">
        <v>5752.97</v>
      </c>
      <c r="L1397" s="9">
        <v>4262.8</v>
      </c>
      <c r="M1397" s="9">
        <v>3002.18</v>
      </c>
      <c r="N1397" s="9">
        <v>2917.03</v>
      </c>
      <c r="O1397" s="9">
        <v>3000</v>
      </c>
      <c r="P1397" s="9">
        <v>3700</v>
      </c>
      <c r="Q1397" s="9">
        <v>3800</v>
      </c>
    </row>
    <row r="1398" spans="2:17" ht="12.75">
      <c r="B1398" s="40">
        <v>6698.1</v>
      </c>
      <c r="C1398" s="36">
        <v>548000</v>
      </c>
      <c r="E1398" s="3" t="s">
        <v>598</v>
      </c>
      <c r="I1398" s="10"/>
      <c r="K1398" s="10"/>
      <c r="L1398" s="9">
        <v>2522.52</v>
      </c>
      <c r="M1398" s="9">
        <v>4287.27</v>
      </c>
      <c r="N1398" s="9">
        <v>8062.78</v>
      </c>
      <c r="O1398" s="9">
        <v>5000</v>
      </c>
      <c r="P1398" s="9">
        <v>7674</v>
      </c>
      <c r="Q1398" s="9">
        <v>8000</v>
      </c>
    </row>
    <row r="1399" spans="1:17" ht="12.75">
      <c r="A1399" s="3" t="s">
        <v>1519</v>
      </c>
      <c r="B1399" s="11" t="s">
        <v>1520</v>
      </c>
      <c r="C1399" s="36">
        <v>571000</v>
      </c>
      <c r="E1399" s="3" t="s">
        <v>2389</v>
      </c>
      <c r="F1399" s="19">
        <v>588</v>
      </c>
      <c r="G1399" s="19">
        <v>355.8</v>
      </c>
      <c r="H1399" s="19">
        <v>873.26</v>
      </c>
      <c r="I1399" s="10">
        <v>618.17</v>
      </c>
      <c r="J1399" s="9">
        <v>695.48</v>
      </c>
      <c r="K1399" s="10">
        <v>213.52</v>
      </c>
      <c r="L1399" s="9">
        <f>209.03+482.13</f>
        <v>691.16</v>
      </c>
      <c r="M1399" s="9">
        <v>38.15</v>
      </c>
      <c r="N1399" s="9">
        <v>754.18</v>
      </c>
      <c r="O1399" s="9">
        <v>250</v>
      </c>
      <c r="P1399" s="9">
        <f>250+300</f>
        <v>550</v>
      </c>
      <c r="Q1399" s="9">
        <f>600+300</f>
        <v>900</v>
      </c>
    </row>
    <row r="1400" spans="1:17" ht="12.75">
      <c r="A1400" s="62">
        <f>5711-540</f>
        <v>5171</v>
      </c>
      <c r="B1400" s="36">
        <v>6702</v>
      </c>
      <c r="C1400" s="36">
        <v>571000</v>
      </c>
      <c r="E1400" s="3" t="s">
        <v>2350</v>
      </c>
      <c r="F1400" s="19">
        <v>1500</v>
      </c>
      <c r="G1400" s="19">
        <v>1500</v>
      </c>
      <c r="H1400" s="19">
        <v>500</v>
      </c>
      <c r="I1400" s="10">
        <v>33.24</v>
      </c>
      <c r="J1400" s="10">
        <v>230</v>
      </c>
      <c r="K1400" s="10">
        <v>461.19</v>
      </c>
      <c r="L1400" s="9">
        <f>500-500</f>
        <v>0</v>
      </c>
      <c r="M1400" s="9">
        <v>320.65</v>
      </c>
      <c r="N1400" s="9">
        <v>676.99</v>
      </c>
      <c r="Q1400" s="9" t="s">
        <v>2180</v>
      </c>
    </row>
    <row r="1401" spans="1:17" ht="12.75">
      <c r="A1401" s="3" t="s">
        <v>1521</v>
      </c>
      <c r="B1401" s="11" t="s">
        <v>1522</v>
      </c>
      <c r="C1401" s="36">
        <v>573000</v>
      </c>
      <c r="E1401" s="3" t="s">
        <v>3001</v>
      </c>
      <c r="F1401" s="19">
        <v>459</v>
      </c>
      <c r="G1401" s="19">
        <v>598.5</v>
      </c>
      <c r="H1401" s="19">
        <v>573.5</v>
      </c>
      <c r="I1401" s="10">
        <v>573.5</v>
      </c>
      <c r="J1401" s="9">
        <v>593.5</v>
      </c>
      <c r="K1401" s="10">
        <v>552.6</v>
      </c>
      <c r="L1401" s="9">
        <v>532.6</v>
      </c>
      <c r="M1401" s="9">
        <v>520.1</v>
      </c>
      <c r="N1401" s="9">
        <v>735.1</v>
      </c>
      <c r="O1401" s="9">
        <v>600</v>
      </c>
      <c r="P1401" s="9">
        <v>600</v>
      </c>
      <c r="Q1401" s="9">
        <v>650</v>
      </c>
    </row>
    <row r="1402" spans="1:15" ht="12.75">
      <c r="A1402" s="3" t="s">
        <v>1501</v>
      </c>
      <c r="B1402" s="11" t="s">
        <v>1502</v>
      </c>
      <c r="E1402" s="3" t="s">
        <v>1503</v>
      </c>
      <c r="F1402" s="19">
        <v>4833</v>
      </c>
      <c r="G1402" s="19">
        <v>8400</v>
      </c>
      <c r="H1402" s="19">
        <v>8400</v>
      </c>
      <c r="I1402" s="10">
        <v>7800</v>
      </c>
      <c r="J1402" s="10">
        <v>6597</v>
      </c>
      <c r="K1402" s="10">
        <v>6493.5</v>
      </c>
      <c r="L1402" s="9">
        <v>6493.5</v>
      </c>
      <c r="M1402" s="9">
        <v>6493.5</v>
      </c>
      <c r="N1402" s="9">
        <f>8750-8750</f>
        <v>0</v>
      </c>
      <c r="O1402" s="9">
        <v>0</v>
      </c>
    </row>
    <row r="1403" spans="1:15" ht="12.75" hidden="1">
      <c r="A1403" s="3" t="s">
        <v>1516</v>
      </c>
      <c r="B1403" s="11" t="s">
        <v>1517</v>
      </c>
      <c r="E1403" s="3" t="s">
        <v>1518</v>
      </c>
      <c r="F1403" s="19">
        <v>0</v>
      </c>
      <c r="G1403" s="19">
        <v>68.25</v>
      </c>
      <c r="H1403" s="19">
        <v>26</v>
      </c>
      <c r="I1403" s="10">
        <v>97</v>
      </c>
      <c r="J1403" s="9">
        <v>0</v>
      </c>
      <c r="K1403" s="10">
        <v>0</v>
      </c>
      <c r="L1403" s="9">
        <v>0</v>
      </c>
      <c r="M1403" s="9">
        <v>0</v>
      </c>
      <c r="N1403" s="9">
        <v>0</v>
      </c>
      <c r="O1403" s="9">
        <v>0</v>
      </c>
    </row>
    <row r="1404" spans="5:18" ht="12.75">
      <c r="E1404" s="20" t="s">
        <v>2274</v>
      </c>
      <c r="F1404" s="25">
        <f aca="true" t="shared" si="306" ref="F1404:K1404">SUM(F1401:F1403)</f>
        <v>5292</v>
      </c>
      <c r="G1404" s="25">
        <f t="shared" si="306"/>
        <v>9066.75</v>
      </c>
      <c r="H1404" s="25">
        <f t="shared" si="306"/>
        <v>8999.5</v>
      </c>
      <c r="I1404" s="23">
        <f t="shared" si="306"/>
        <v>8470.5</v>
      </c>
      <c r="J1404" s="23">
        <f t="shared" si="306"/>
        <v>7190.5</v>
      </c>
      <c r="K1404" s="23">
        <f t="shared" si="306"/>
        <v>7046.1</v>
      </c>
      <c r="L1404" s="7">
        <f>SUM(L1389:L1403)</f>
        <v>149464.25999999998</v>
      </c>
      <c r="M1404" s="7">
        <f aca="true" t="shared" si="307" ref="M1404:R1404">SUM(M1389:M1403)</f>
        <v>139671.99999999997</v>
      </c>
      <c r="N1404" s="7">
        <f t="shared" si="307"/>
        <v>109448.74999999999</v>
      </c>
      <c r="O1404" s="7">
        <f t="shared" si="307"/>
        <v>72100</v>
      </c>
      <c r="P1404" s="7">
        <f t="shared" si="307"/>
        <v>76474</v>
      </c>
      <c r="Q1404" s="7">
        <f t="shared" si="307"/>
        <v>77300</v>
      </c>
      <c r="R1404" s="7">
        <f t="shared" si="307"/>
        <v>0</v>
      </c>
    </row>
    <row r="1405" spans="5:9" ht="12.75">
      <c r="E1405" s="20"/>
      <c r="F1405" s="25"/>
      <c r="G1405" s="25"/>
      <c r="H1405" s="25"/>
      <c r="I1405" s="23"/>
    </row>
    <row r="1406" spans="2:18" ht="12.75" hidden="1">
      <c r="B1406" s="11" t="s">
        <v>1523</v>
      </c>
      <c r="E1406" s="3" t="s">
        <v>929</v>
      </c>
      <c r="F1406" s="19">
        <v>0</v>
      </c>
      <c r="G1406" s="19">
        <v>16501.96</v>
      </c>
      <c r="H1406" s="19">
        <v>16239.17</v>
      </c>
      <c r="I1406" s="10">
        <v>31200</v>
      </c>
      <c r="J1406" s="9">
        <v>2425</v>
      </c>
      <c r="K1406" s="10">
        <v>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</row>
    <row r="1407" spans="2:18" ht="12.75" hidden="1">
      <c r="B1407" s="11">
        <v>6705</v>
      </c>
      <c r="E1407" s="3" t="s">
        <v>2276</v>
      </c>
      <c r="I1407" s="10">
        <v>1108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</row>
    <row r="1408" spans="5:18" ht="12.75" hidden="1">
      <c r="E1408" s="20" t="s">
        <v>2277</v>
      </c>
      <c r="F1408" s="25">
        <f>SUM(F1406)</f>
        <v>0</v>
      </c>
      <c r="G1408" s="25">
        <f>SUM(G1406)</f>
        <v>16501.96</v>
      </c>
      <c r="H1408" s="25">
        <f>SUM(H1406)</f>
        <v>16239.17</v>
      </c>
      <c r="I1408" s="23">
        <f>SUM(I1406:I1407)</f>
        <v>32308</v>
      </c>
      <c r="J1408" s="23">
        <f>SUM(J1406)</f>
        <v>2425</v>
      </c>
      <c r="K1408" s="23">
        <f>SUM(K1406)</f>
        <v>0</v>
      </c>
      <c r="L1408" s="7">
        <f>SUM(L1406)</f>
        <v>0</v>
      </c>
      <c r="M1408" s="7">
        <f aca="true" t="shared" si="308" ref="M1408:R1408">SUM(M1406:M1407)</f>
        <v>0</v>
      </c>
      <c r="N1408" s="7">
        <f t="shared" si="308"/>
        <v>0</v>
      </c>
      <c r="O1408" s="7">
        <f t="shared" si="308"/>
        <v>0</v>
      </c>
      <c r="P1408" s="7">
        <f t="shared" si="308"/>
        <v>0</v>
      </c>
      <c r="Q1408" s="7">
        <f t="shared" si="308"/>
        <v>0</v>
      </c>
      <c r="R1408" s="7">
        <f t="shared" si="308"/>
        <v>0</v>
      </c>
    </row>
    <row r="1409" ht="12.75" hidden="1">
      <c r="I1409" s="10"/>
    </row>
    <row r="1410" spans="5:18" ht="12.75">
      <c r="E1410" s="2" t="s">
        <v>1524</v>
      </c>
      <c r="F1410" s="31">
        <f aca="true" t="shared" si="309" ref="F1410:K1410">SUM(F1381:F1409)/2</f>
        <v>227174</v>
      </c>
      <c r="G1410" s="31">
        <f t="shared" si="309"/>
        <v>299519.05</v>
      </c>
      <c r="H1410" s="31">
        <f t="shared" si="309"/>
        <v>296422.5950000001</v>
      </c>
      <c r="I1410" s="28">
        <f t="shared" si="309"/>
        <v>328265.51</v>
      </c>
      <c r="J1410" s="28">
        <f t="shared" si="309"/>
        <v>346778.435</v>
      </c>
      <c r="K1410" s="28">
        <f t="shared" si="309"/>
        <v>364218.86999999994</v>
      </c>
      <c r="L1410" s="32">
        <f>SUM(L1381:L1409)/2</f>
        <v>466737.32</v>
      </c>
      <c r="M1410" s="32">
        <f aca="true" t="shared" si="310" ref="M1410:R1410">SUM(M1381:M1409)/2</f>
        <v>455196.24000000005</v>
      </c>
      <c r="N1410" s="32">
        <f t="shared" si="310"/>
        <v>451658.4300000001</v>
      </c>
      <c r="O1410" s="32">
        <f t="shared" si="310"/>
        <v>435015</v>
      </c>
      <c r="P1410" s="32">
        <f t="shared" si="310"/>
        <v>442089</v>
      </c>
      <c r="Q1410" s="32">
        <f t="shared" si="310"/>
        <v>443441</v>
      </c>
      <c r="R1410" s="32">
        <f t="shared" si="310"/>
        <v>0</v>
      </c>
    </row>
    <row r="1411" spans="5:18" ht="12.75">
      <c r="E1411" s="2"/>
      <c r="F1411" s="31"/>
      <c r="G1411" s="31"/>
      <c r="H1411" s="31"/>
      <c r="I1411" s="28"/>
      <c r="J1411" s="28"/>
      <c r="K1411" s="28"/>
      <c r="L1411" s="32"/>
      <c r="M1411" s="32"/>
      <c r="N1411" s="32"/>
      <c r="O1411" s="32"/>
      <c r="P1411" s="32"/>
      <c r="Q1411" s="32"/>
      <c r="R1411" s="32"/>
    </row>
    <row r="1412" spans="5:18" ht="12.75">
      <c r="E1412" s="48" t="s">
        <v>2612</v>
      </c>
      <c r="F1412" s="31"/>
      <c r="G1412" s="31"/>
      <c r="H1412" s="31"/>
      <c r="I1412" s="28"/>
      <c r="J1412" s="28"/>
      <c r="K1412" s="28"/>
      <c r="L1412" s="32"/>
      <c r="M1412" s="32"/>
      <c r="N1412" s="32"/>
      <c r="O1412" s="32"/>
      <c r="P1412" s="32"/>
      <c r="Q1412" s="32"/>
      <c r="R1412" s="32"/>
    </row>
    <row r="1413" ht="12.75">
      <c r="E1413" s="38"/>
    </row>
    <row r="1414" spans="1:5" ht="12.75">
      <c r="A1414" s="3" t="s">
        <v>2180</v>
      </c>
      <c r="C1414" s="196">
        <v>15431</v>
      </c>
      <c r="D1414" s="196"/>
      <c r="E1414" s="163" t="s">
        <v>1525</v>
      </c>
    </row>
    <row r="1415" spans="1:17" ht="12.75">
      <c r="A1415" s="3" t="s">
        <v>1526</v>
      </c>
      <c r="B1415" s="11" t="s">
        <v>1527</v>
      </c>
      <c r="C1415" s="36">
        <v>511000</v>
      </c>
      <c r="E1415" s="3" t="s">
        <v>2731</v>
      </c>
      <c r="F1415" s="19">
        <v>8500</v>
      </c>
      <c r="G1415" s="19">
        <v>12000</v>
      </c>
      <c r="H1415" s="19">
        <v>12000</v>
      </c>
      <c r="I1415" s="8">
        <v>12000</v>
      </c>
      <c r="J1415" s="9">
        <v>12000</v>
      </c>
      <c r="K1415" s="10">
        <v>12000</v>
      </c>
      <c r="L1415" s="9">
        <v>12000</v>
      </c>
      <c r="M1415" s="9">
        <v>12000</v>
      </c>
      <c r="N1415" s="9">
        <v>12000</v>
      </c>
      <c r="O1415" s="9">
        <v>12000</v>
      </c>
      <c r="P1415" s="9">
        <v>12000</v>
      </c>
      <c r="Q1415" s="9">
        <v>12000</v>
      </c>
    </row>
    <row r="1416" spans="5:18" ht="12.75">
      <c r="E1416" s="20" t="s">
        <v>2187</v>
      </c>
      <c r="F1416" s="21">
        <f aca="true" t="shared" si="311" ref="F1416:L1416">SUM(F1415:F1415)</f>
        <v>8500</v>
      </c>
      <c r="G1416" s="21">
        <f t="shared" si="311"/>
        <v>12000</v>
      </c>
      <c r="H1416" s="21">
        <f t="shared" si="311"/>
        <v>12000</v>
      </c>
      <c r="I1416" s="22">
        <f t="shared" si="311"/>
        <v>12000</v>
      </c>
      <c r="J1416" s="23">
        <f t="shared" si="311"/>
        <v>12000</v>
      </c>
      <c r="K1416" s="23">
        <f t="shared" si="311"/>
        <v>12000</v>
      </c>
      <c r="L1416" s="7">
        <f t="shared" si="311"/>
        <v>12000</v>
      </c>
      <c r="M1416" s="7">
        <f aca="true" t="shared" si="312" ref="M1416:R1416">SUM(M1415:M1415)</f>
        <v>12000</v>
      </c>
      <c r="N1416" s="7">
        <f t="shared" si="312"/>
        <v>12000</v>
      </c>
      <c r="O1416" s="7">
        <f t="shared" si="312"/>
        <v>12000</v>
      </c>
      <c r="P1416" s="7">
        <f t="shared" si="312"/>
        <v>12000</v>
      </c>
      <c r="Q1416" s="7">
        <f t="shared" si="312"/>
        <v>12000</v>
      </c>
      <c r="R1416" s="7">
        <f t="shared" si="312"/>
        <v>0</v>
      </c>
    </row>
    <row r="1417" spans="3:4" ht="12.75">
      <c r="C1417" s="196">
        <v>15432</v>
      </c>
      <c r="D1417" s="196"/>
    </row>
    <row r="1418" spans="1:18" ht="12.75" hidden="1">
      <c r="A1418" s="62">
        <f>5300-560</f>
        <v>4740</v>
      </c>
      <c r="B1418" s="11" t="s">
        <v>1528</v>
      </c>
      <c r="E1418" s="3" t="s">
        <v>1529</v>
      </c>
      <c r="F1418" s="19">
        <v>0</v>
      </c>
      <c r="G1418" s="19">
        <v>0</v>
      </c>
      <c r="H1418" s="19">
        <v>0</v>
      </c>
      <c r="I1418" s="8">
        <v>0</v>
      </c>
      <c r="J1418" s="9">
        <v>0</v>
      </c>
      <c r="K1418" s="10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</row>
    <row r="1419" spans="5:18" ht="12.75" hidden="1">
      <c r="E1419" s="20" t="s">
        <v>2199</v>
      </c>
      <c r="F1419" s="25">
        <f aca="true" t="shared" si="313" ref="F1419:L1419">SUM(F1417:F1418)</f>
        <v>0</v>
      </c>
      <c r="G1419" s="25">
        <f t="shared" si="313"/>
        <v>0</v>
      </c>
      <c r="H1419" s="25">
        <f t="shared" si="313"/>
        <v>0</v>
      </c>
      <c r="I1419" s="23">
        <f t="shared" si="313"/>
        <v>0</v>
      </c>
      <c r="J1419" s="23">
        <f t="shared" si="313"/>
        <v>0</v>
      </c>
      <c r="K1419" s="23">
        <f t="shared" si="313"/>
        <v>0</v>
      </c>
      <c r="L1419" s="7">
        <f t="shared" si="313"/>
        <v>0</v>
      </c>
      <c r="M1419" s="7">
        <f aca="true" t="shared" si="314" ref="M1419:R1419">SUM(M1417:M1418)</f>
        <v>0</v>
      </c>
      <c r="N1419" s="7">
        <f t="shared" si="314"/>
        <v>0</v>
      </c>
      <c r="O1419" s="7">
        <f t="shared" si="314"/>
        <v>0</v>
      </c>
      <c r="P1419" s="7">
        <f t="shared" si="314"/>
        <v>0</v>
      </c>
      <c r="Q1419" s="7">
        <f t="shared" si="314"/>
        <v>0</v>
      </c>
      <c r="R1419" s="7">
        <f t="shared" si="314"/>
        <v>0</v>
      </c>
    </row>
    <row r="1420" ht="12.75" hidden="1">
      <c r="J1420" s="10"/>
    </row>
    <row r="1421" spans="1:17" ht="12.75">
      <c r="A1421" s="3" t="s">
        <v>1530</v>
      </c>
      <c r="B1421" s="11" t="s">
        <v>1531</v>
      </c>
      <c r="C1421" s="36">
        <v>542100</v>
      </c>
      <c r="E1421" s="3" t="s">
        <v>2201</v>
      </c>
      <c r="F1421" s="19">
        <v>85</v>
      </c>
      <c r="G1421" s="19">
        <v>124.99</v>
      </c>
      <c r="H1421" s="19">
        <v>141.4</v>
      </c>
      <c r="I1421" s="8">
        <v>109.99</v>
      </c>
      <c r="J1421" s="9">
        <v>107.05</v>
      </c>
      <c r="K1421" s="10">
        <v>112.33</v>
      </c>
      <c r="L1421" s="9">
        <v>15.87</v>
      </c>
      <c r="M1421" s="9">
        <v>48.96</v>
      </c>
      <c r="N1421" s="9">
        <v>122</v>
      </c>
      <c r="O1421" s="9">
        <v>125</v>
      </c>
      <c r="P1421" s="9">
        <v>125</v>
      </c>
      <c r="Q1421" s="9">
        <v>125</v>
      </c>
    </row>
    <row r="1422" spans="1:15" ht="12.75">
      <c r="A1422" s="3" t="s">
        <v>1532</v>
      </c>
      <c r="B1422" s="11" t="s">
        <v>1533</v>
      </c>
      <c r="C1422" s="36">
        <v>552900</v>
      </c>
      <c r="E1422" s="3" t="s">
        <v>1534</v>
      </c>
      <c r="F1422" s="19">
        <v>30</v>
      </c>
      <c r="G1422" s="19">
        <v>35</v>
      </c>
      <c r="H1422" s="19">
        <v>35</v>
      </c>
      <c r="I1422" s="8">
        <v>40</v>
      </c>
      <c r="J1422" s="9">
        <v>40</v>
      </c>
      <c r="K1422" s="10">
        <v>40</v>
      </c>
      <c r="L1422" s="9">
        <v>45</v>
      </c>
      <c r="N1422" s="9">
        <v>75</v>
      </c>
      <c r="O1422" s="9">
        <v>50</v>
      </c>
    </row>
    <row r="1423" spans="1:17" ht="12.75">
      <c r="A1423" s="3" t="s">
        <v>1539</v>
      </c>
      <c r="B1423" s="11" t="s">
        <v>1540</v>
      </c>
      <c r="C1423" s="36">
        <v>558900</v>
      </c>
      <c r="E1423" s="3" t="s">
        <v>1541</v>
      </c>
      <c r="F1423" s="19">
        <v>1479</v>
      </c>
      <c r="G1423" s="19">
        <v>3842.15</v>
      </c>
      <c r="H1423" s="19">
        <v>1175.38</v>
      </c>
      <c r="I1423" s="8">
        <v>0</v>
      </c>
      <c r="J1423" s="10">
        <v>873.21</v>
      </c>
      <c r="K1423" s="10">
        <v>3386</v>
      </c>
      <c r="L1423" s="9">
        <v>298.8</v>
      </c>
      <c r="M1423" s="9">
        <v>5304.87</v>
      </c>
      <c r="N1423" s="9">
        <v>2559</v>
      </c>
      <c r="O1423" s="9">
        <v>5300</v>
      </c>
      <c r="P1423" s="9">
        <v>5300</v>
      </c>
      <c r="Q1423" s="9">
        <v>5300</v>
      </c>
    </row>
    <row r="1424" spans="2:17" ht="12.75">
      <c r="B1424" s="11">
        <v>6828.5</v>
      </c>
      <c r="C1424" s="36">
        <v>558900</v>
      </c>
      <c r="E1424" s="3" t="s">
        <v>2404</v>
      </c>
      <c r="J1424" s="10"/>
      <c r="K1424" s="10"/>
      <c r="M1424" s="9">
        <v>3221.93</v>
      </c>
      <c r="N1424" s="9">
        <v>2973.1</v>
      </c>
      <c r="O1424" s="9">
        <v>3500</v>
      </c>
      <c r="P1424" s="9">
        <v>3500</v>
      </c>
      <c r="Q1424" s="9">
        <v>3500</v>
      </c>
    </row>
    <row r="1425" spans="1:17" ht="12.75">
      <c r="A1425" s="3" t="s">
        <v>1542</v>
      </c>
      <c r="B1425" s="11" t="s">
        <v>1543</v>
      </c>
      <c r="C1425" s="36">
        <v>558900</v>
      </c>
      <c r="E1425" s="3" t="s">
        <v>1544</v>
      </c>
      <c r="F1425" s="19">
        <v>1426</v>
      </c>
      <c r="G1425" s="19">
        <v>1397.45</v>
      </c>
      <c r="H1425" s="19">
        <v>1379.1</v>
      </c>
      <c r="I1425" s="8">
        <v>1288.6</v>
      </c>
      <c r="J1425" s="9">
        <v>1335.4</v>
      </c>
      <c r="K1425" s="10">
        <v>1843.85</v>
      </c>
      <c r="L1425" s="9">
        <v>1544.34</v>
      </c>
      <c r="M1425" s="9">
        <v>1587.84</v>
      </c>
      <c r="N1425" s="9">
        <v>1599.53</v>
      </c>
      <c r="O1425" s="9">
        <v>1600</v>
      </c>
      <c r="P1425" s="9">
        <v>1600</v>
      </c>
      <c r="Q1425" s="9">
        <v>1600</v>
      </c>
    </row>
    <row r="1426" spans="1:17" ht="12.75">
      <c r="A1426" s="3" t="s">
        <v>1545</v>
      </c>
      <c r="B1426" s="11" t="s">
        <v>1546</v>
      </c>
      <c r="C1426" s="36">
        <v>558900</v>
      </c>
      <c r="E1426" s="3" t="s">
        <v>1547</v>
      </c>
      <c r="F1426" s="19">
        <v>578</v>
      </c>
      <c r="G1426" s="19">
        <v>575</v>
      </c>
      <c r="H1426" s="19">
        <v>495.9</v>
      </c>
      <c r="I1426" s="8">
        <v>141</v>
      </c>
      <c r="J1426" s="8">
        <v>563.49</v>
      </c>
      <c r="K1426" s="10">
        <v>564.94</v>
      </c>
      <c r="L1426" s="9">
        <v>0</v>
      </c>
      <c r="M1426" s="9">
        <v>552.88</v>
      </c>
      <c r="N1426" s="9">
        <v>574.78</v>
      </c>
      <c r="O1426" s="9">
        <v>575</v>
      </c>
      <c r="P1426" s="9">
        <v>575</v>
      </c>
      <c r="Q1426" s="9">
        <v>700</v>
      </c>
    </row>
    <row r="1427" spans="1:17" ht="12.75">
      <c r="A1427" s="3" t="s">
        <v>1535</v>
      </c>
      <c r="B1427" s="11" t="s">
        <v>1536</v>
      </c>
      <c r="C1427" s="36">
        <v>571000</v>
      </c>
      <c r="E1427" s="3" t="s">
        <v>2389</v>
      </c>
      <c r="F1427" s="19">
        <v>244</v>
      </c>
      <c r="G1427" s="19">
        <v>676.26</v>
      </c>
      <c r="H1427" s="19">
        <v>387</v>
      </c>
      <c r="I1427" s="8">
        <v>0</v>
      </c>
      <c r="J1427" s="9">
        <v>225.6</v>
      </c>
      <c r="K1427" s="10">
        <v>0</v>
      </c>
      <c r="L1427" s="9">
        <v>521.07</v>
      </c>
      <c r="M1427" s="9">
        <v>445</v>
      </c>
      <c r="N1427" s="9">
        <v>440.69</v>
      </c>
      <c r="O1427" s="9">
        <v>1000</v>
      </c>
      <c r="P1427" s="9">
        <v>1000</v>
      </c>
      <c r="Q1427" s="9">
        <v>1300</v>
      </c>
    </row>
    <row r="1428" spans="1:17" ht="12.75">
      <c r="A1428" s="3" t="s">
        <v>1537</v>
      </c>
      <c r="B1428" s="11" t="s">
        <v>1538</v>
      </c>
      <c r="C1428" s="36">
        <v>573000</v>
      </c>
      <c r="E1428" s="3" t="s">
        <v>1334</v>
      </c>
      <c r="F1428" s="19">
        <v>45</v>
      </c>
      <c r="G1428" s="19">
        <v>45</v>
      </c>
      <c r="H1428" s="19">
        <v>45</v>
      </c>
      <c r="I1428" s="8">
        <v>55</v>
      </c>
      <c r="J1428" s="9">
        <v>55</v>
      </c>
      <c r="K1428" s="10">
        <v>55</v>
      </c>
      <c r="L1428" s="9">
        <v>55</v>
      </c>
      <c r="M1428" s="9">
        <v>49</v>
      </c>
      <c r="N1428" s="9">
        <v>55</v>
      </c>
      <c r="O1428" s="9">
        <v>55</v>
      </c>
      <c r="P1428" s="9">
        <v>55</v>
      </c>
      <c r="Q1428" s="9">
        <v>200</v>
      </c>
    </row>
    <row r="1429" spans="2:18" ht="12.75" hidden="1">
      <c r="B1429" s="11">
        <v>6731</v>
      </c>
      <c r="E1429" s="3" t="s">
        <v>1548</v>
      </c>
      <c r="F1429" s="19">
        <v>2555</v>
      </c>
      <c r="G1429" s="19">
        <v>0</v>
      </c>
      <c r="H1429" s="19">
        <v>0</v>
      </c>
      <c r="I1429" s="8">
        <v>0</v>
      </c>
      <c r="J1429" s="8">
        <v>0</v>
      </c>
      <c r="K1429" s="10">
        <v>0</v>
      </c>
      <c r="L1429" s="9">
        <v>0</v>
      </c>
      <c r="M1429" s="9">
        <v>0</v>
      </c>
      <c r="N1429" s="9">
        <v>0</v>
      </c>
      <c r="O1429" s="9">
        <v>0</v>
      </c>
      <c r="P1429" s="9">
        <v>0</v>
      </c>
      <c r="Q1429" s="9">
        <v>0</v>
      </c>
      <c r="R1429" s="9">
        <v>0</v>
      </c>
    </row>
    <row r="1430" spans="5:18" ht="12.75">
      <c r="E1430" s="20" t="s">
        <v>2274</v>
      </c>
      <c r="F1430" s="21">
        <f aca="true" t="shared" si="315" ref="F1430:K1430">SUM(F1423:F1429)</f>
        <v>6327</v>
      </c>
      <c r="G1430" s="21">
        <f t="shared" si="315"/>
        <v>6535.860000000001</v>
      </c>
      <c r="H1430" s="21">
        <f t="shared" si="315"/>
        <v>3482.38</v>
      </c>
      <c r="I1430" s="22">
        <f t="shared" si="315"/>
        <v>1484.6</v>
      </c>
      <c r="J1430" s="23">
        <f t="shared" si="315"/>
        <v>3052.7000000000003</v>
      </c>
      <c r="K1430" s="23">
        <f t="shared" si="315"/>
        <v>5849.790000000001</v>
      </c>
      <c r="L1430" s="7">
        <f>SUM(L1421:L1429)</f>
        <v>2480.08</v>
      </c>
      <c r="M1430" s="7">
        <f aca="true" t="shared" si="316" ref="M1430:R1430">SUM(M1421:M1429)</f>
        <v>11210.48</v>
      </c>
      <c r="N1430" s="7">
        <f t="shared" si="316"/>
        <v>8399.1</v>
      </c>
      <c r="O1430" s="7">
        <f t="shared" si="316"/>
        <v>12205</v>
      </c>
      <c r="P1430" s="7">
        <f t="shared" si="316"/>
        <v>12155</v>
      </c>
      <c r="Q1430" s="7">
        <f t="shared" si="316"/>
        <v>12725</v>
      </c>
      <c r="R1430" s="7">
        <f t="shared" si="316"/>
        <v>0</v>
      </c>
    </row>
    <row r="1431" ht="12.75">
      <c r="J1431" s="10"/>
    </row>
    <row r="1432" spans="5:18" ht="12.75">
      <c r="E1432" s="2" t="s">
        <v>1549</v>
      </c>
      <c r="F1432" s="31">
        <f aca="true" t="shared" si="317" ref="F1432:K1432">SUM(F1415:F1430)/2</f>
        <v>14884.5</v>
      </c>
      <c r="G1432" s="31">
        <f t="shared" si="317"/>
        <v>18615.855000000003</v>
      </c>
      <c r="H1432" s="31">
        <f t="shared" si="317"/>
        <v>15570.580000000002</v>
      </c>
      <c r="I1432" s="28">
        <f t="shared" si="317"/>
        <v>13559.595</v>
      </c>
      <c r="J1432" s="28">
        <f t="shared" si="317"/>
        <v>15126.225</v>
      </c>
      <c r="K1432" s="28">
        <f t="shared" si="317"/>
        <v>17925.955</v>
      </c>
      <c r="L1432" s="32">
        <f>SUM(L1415:L1430)/2</f>
        <v>14480.079999999998</v>
      </c>
      <c r="M1432" s="32">
        <f aca="true" t="shared" si="318" ref="M1432:R1432">SUM(M1415:M1430)/2</f>
        <v>23210.479999999996</v>
      </c>
      <c r="N1432" s="32">
        <f t="shared" si="318"/>
        <v>20399.1</v>
      </c>
      <c r="O1432" s="32">
        <f t="shared" si="318"/>
        <v>24205</v>
      </c>
      <c r="P1432" s="32">
        <f t="shared" si="318"/>
        <v>24155</v>
      </c>
      <c r="Q1432" s="32">
        <f t="shared" si="318"/>
        <v>24725</v>
      </c>
      <c r="R1432" s="32">
        <f t="shared" si="318"/>
        <v>0</v>
      </c>
    </row>
    <row r="1433" ht="12.75">
      <c r="E1433" s="38"/>
    </row>
    <row r="1434" spans="1:18" ht="12.75">
      <c r="A1434" s="3" t="s">
        <v>2931</v>
      </c>
      <c r="E1434" s="4" t="s">
        <v>1565</v>
      </c>
      <c r="F1434" s="6" t="e">
        <f>F1315+F1341+F1378+F1410+F1432</f>
        <v>#REF!</v>
      </c>
      <c r="G1434" s="6">
        <f aca="true" t="shared" si="319" ref="G1434:M1434">G1315+G1341+G1376+G1410+G1432</f>
        <v>506377.39999999997</v>
      </c>
      <c r="H1434" s="6">
        <f t="shared" si="319"/>
        <v>534940.7050000001</v>
      </c>
      <c r="I1434" s="6">
        <f t="shared" si="319"/>
        <v>535986.7100000001</v>
      </c>
      <c r="J1434" s="6">
        <f t="shared" si="319"/>
        <v>604076.38</v>
      </c>
      <c r="K1434" s="6">
        <f t="shared" si="319"/>
        <v>659866.2299999999</v>
      </c>
      <c r="L1434" s="6">
        <f t="shared" si="319"/>
        <v>767396.3250000001</v>
      </c>
      <c r="M1434" s="6">
        <f t="shared" si="319"/>
        <v>752305.21</v>
      </c>
      <c r="N1434" s="6">
        <f>N1315+N1341+N1376+N1410+N1432+N1363</f>
        <v>829360.6300000001</v>
      </c>
      <c r="O1434" s="6">
        <f>O1315+O1341+O1376+O1410+O1432</f>
        <v>816973</v>
      </c>
      <c r="P1434" s="6">
        <f>P1315+P1341+P1376+P1410+P1432</f>
        <v>816158</v>
      </c>
      <c r="Q1434" s="6">
        <f>Q1315+Q1341+Q1376+Q1410+Q1432</f>
        <v>854170</v>
      </c>
      <c r="R1434" s="6">
        <f>R1315+R1341+R1376+R1410+R1432</f>
        <v>0</v>
      </c>
    </row>
    <row r="1435" spans="5:10" ht="12.75">
      <c r="E1435" s="38"/>
      <c r="J1435" s="77"/>
    </row>
    <row r="1436" spans="1:5" ht="12.75">
      <c r="A1436" s="3" t="s">
        <v>2180</v>
      </c>
      <c r="E1436" s="163" t="s">
        <v>1566</v>
      </c>
    </row>
    <row r="1437" spans="3:10" ht="12.75">
      <c r="C1437" s="196">
        <v>16111</v>
      </c>
      <c r="D1437" s="196"/>
      <c r="J1437" s="10"/>
    </row>
    <row r="1438" spans="1:17" ht="12.75">
      <c r="A1438" s="3" t="s">
        <v>1567</v>
      </c>
      <c r="B1438" s="11" t="s">
        <v>1568</v>
      </c>
      <c r="C1438" s="36">
        <v>511000</v>
      </c>
      <c r="E1438" s="3" t="s">
        <v>1569</v>
      </c>
      <c r="F1438" s="19">
        <v>120673</v>
      </c>
      <c r="G1438" s="19">
        <v>127622.31</v>
      </c>
      <c r="H1438" s="19">
        <v>135981.77</v>
      </c>
      <c r="I1438" s="10">
        <v>141162.32</v>
      </c>
      <c r="J1438" s="9">
        <v>160889.19</v>
      </c>
      <c r="K1438" s="10">
        <v>152565.63</v>
      </c>
      <c r="L1438" s="9">
        <v>141234.23</v>
      </c>
      <c r="M1438" s="9">
        <v>149557.46</v>
      </c>
      <c r="N1438" s="9">
        <v>162094.51</v>
      </c>
      <c r="O1438" s="9">
        <v>166250</v>
      </c>
      <c r="P1438" s="9">
        <v>166250</v>
      </c>
      <c r="Q1438" s="9">
        <v>169875</v>
      </c>
    </row>
    <row r="1439" spans="1:17" ht="12.75">
      <c r="A1439" s="3" t="s">
        <v>1570</v>
      </c>
      <c r="B1439" s="11" t="s">
        <v>1571</v>
      </c>
      <c r="C1439" s="36">
        <v>511100</v>
      </c>
      <c r="E1439" s="3" t="s">
        <v>1572</v>
      </c>
      <c r="F1439" s="19">
        <v>9352</v>
      </c>
      <c r="G1439" s="19">
        <v>7373.81</v>
      </c>
      <c r="H1439" s="19">
        <v>7724.25</v>
      </c>
      <c r="I1439" s="10">
        <v>8955.21</v>
      </c>
      <c r="J1439" s="9">
        <v>8206.53</v>
      </c>
      <c r="K1439" s="10">
        <v>9795.44</v>
      </c>
      <c r="L1439" s="9">
        <v>9782.8</v>
      </c>
      <c r="M1439" s="9">
        <v>10200.77</v>
      </c>
      <c r="N1439" s="9">
        <v>9085.84</v>
      </c>
      <c r="O1439" s="9">
        <v>6668</v>
      </c>
      <c r="P1439" s="9">
        <v>6668</v>
      </c>
      <c r="Q1439" s="9">
        <v>8539</v>
      </c>
    </row>
    <row r="1440" spans="1:17" ht="12.75">
      <c r="A1440" s="3" t="s">
        <v>1573</v>
      </c>
      <c r="B1440" s="11" t="s">
        <v>1574</v>
      </c>
      <c r="C1440" s="36">
        <v>513000</v>
      </c>
      <c r="E1440" s="24" t="s">
        <v>2186</v>
      </c>
      <c r="F1440" s="19">
        <v>1957</v>
      </c>
      <c r="G1440" s="19">
        <v>3060</v>
      </c>
      <c r="H1440" s="19">
        <v>2844.7</v>
      </c>
      <c r="I1440" s="10">
        <v>2787.13</v>
      </c>
      <c r="J1440" s="9">
        <v>3281.53</v>
      </c>
      <c r="K1440" s="10">
        <v>3011.56</v>
      </c>
      <c r="L1440" s="9">
        <v>4168.91</v>
      </c>
      <c r="M1440" s="9">
        <v>3422.65</v>
      </c>
      <c r="N1440" s="9">
        <v>4665.18</v>
      </c>
      <c r="O1440" s="9">
        <v>3000</v>
      </c>
      <c r="P1440" s="9">
        <v>4000</v>
      </c>
      <c r="Q1440" s="9">
        <v>3000</v>
      </c>
    </row>
    <row r="1441" spans="1:17" ht="12.75">
      <c r="A1441" s="3" t="s">
        <v>1575</v>
      </c>
      <c r="B1441" s="11" t="s">
        <v>1576</v>
      </c>
      <c r="C1441" s="36">
        <v>514800</v>
      </c>
      <c r="E1441" s="3" t="s">
        <v>2288</v>
      </c>
      <c r="F1441" s="19">
        <v>363</v>
      </c>
      <c r="G1441" s="19">
        <v>375</v>
      </c>
      <c r="H1441" s="19">
        <v>375</v>
      </c>
      <c r="I1441" s="10">
        <v>375</v>
      </c>
      <c r="J1441" s="9">
        <v>600</v>
      </c>
      <c r="K1441" s="10">
        <v>600</v>
      </c>
      <c r="L1441" s="9">
        <v>225</v>
      </c>
      <c r="M1441" s="9">
        <v>1300</v>
      </c>
      <c r="N1441" s="9">
        <v>275</v>
      </c>
      <c r="O1441" s="9">
        <v>275</v>
      </c>
      <c r="P1441" s="9">
        <v>275</v>
      </c>
      <c r="Q1441" s="9">
        <v>275</v>
      </c>
    </row>
    <row r="1442" spans="1:17" ht="12.75">
      <c r="A1442" s="3" t="s">
        <v>1581</v>
      </c>
      <c r="B1442" s="11" t="s">
        <v>1582</v>
      </c>
      <c r="C1442" s="36">
        <v>517000</v>
      </c>
      <c r="E1442" s="3" t="s">
        <v>2222</v>
      </c>
      <c r="F1442" s="19">
        <v>16327</v>
      </c>
      <c r="G1442" s="19">
        <v>15510</v>
      </c>
      <c r="H1442" s="19">
        <v>17961</v>
      </c>
      <c r="I1442" s="10">
        <v>19398</v>
      </c>
      <c r="J1442" s="9">
        <v>27039</v>
      </c>
      <c r="K1442" s="10">
        <v>39933</v>
      </c>
      <c r="L1442" s="9">
        <v>38779</v>
      </c>
      <c r="M1442" s="9">
        <v>32325.33</v>
      </c>
      <c r="N1442" s="9">
        <v>38206</v>
      </c>
      <c r="O1442" s="9">
        <v>28536</v>
      </c>
      <c r="P1442" s="9">
        <v>28536</v>
      </c>
      <c r="Q1442" s="9">
        <v>30469</v>
      </c>
    </row>
    <row r="1443" spans="1:15" ht="12.75" hidden="1">
      <c r="A1443" s="3" t="s">
        <v>1579</v>
      </c>
      <c r="B1443" s="11" t="s">
        <v>1580</v>
      </c>
      <c r="E1443" s="3" t="s">
        <v>2219</v>
      </c>
      <c r="F1443" s="19">
        <v>72</v>
      </c>
      <c r="G1443" s="19">
        <v>72</v>
      </c>
      <c r="H1443" s="19">
        <v>72</v>
      </c>
      <c r="I1443" s="10">
        <v>0</v>
      </c>
      <c r="J1443" s="9">
        <v>0</v>
      </c>
      <c r="K1443" s="10">
        <v>0</v>
      </c>
      <c r="L1443" s="9">
        <v>0</v>
      </c>
      <c r="M1443" s="9">
        <v>0</v>
      </c>
      <c r="N1443" s="9">
        <v>0</v>
      </c>
      <c r="O1443" s="9">
        <v>0</v>
      </c>
    </row>
    <row r="1444" spans="1:17" ht="12.75">
      <c r="A1444" s="3" t="s">
        <v>1577</v>
      </c>
      <c r="B1444" s="11" t="s">
        <v>1578</v>
      </c>
      <c r="C1444" s="36">
        <v>517200</v>
      </c>
      <c r="E1444" s="3" t="s">
        <v>2291</v>
      </c>
      <c r="F1444" s="19">
        <v>412</v>
      </c>
      <c r="G1444" s="19">
        <v>309</v>
      </c>
      <c r="H1444" s="19">
        <v>309</v>
      </c>
      <c r="I1444" s="10">
        <v>309</v>
      </c>
      <c r="J1444" s="9">
        <v>309</v>
      </c>
      <c r="K1444" s="10">
        <v>309</v>
      </c>
      <c r="L1444" s="9">
        <v>309</v>
      </c>
      <c r="M1444" s="9">
        <v>309</v>
      </c>
      <c r="N1444" s="9">
        <v>238</v>
      </c>
      <c r="O1444" s="9">
        <v>309</v>
      </c>
      <c r="P1444" s="9">
        <v>309</v>
      </c>
      <c r="Q1444" s="9">
        <v>324</v>
      </c>
    </row>
    <row r="1445" spans="1:17" ht="12.75">
      <c r="A1445" s="3" t="s">
        <v>1583</v>
      </c>
      <c r="B1445" s="11" t="s">
        <v>1584</v>
      </c>
      <c r="C1445" s="36">
        <v>517800</v>
      </c>
      <c r="E1445" s="3" t="s">
        <v>2298</v>
      </c>
      <c r="F1445" s="19">
        <v>1066</v>
      </c>
      <c r="G1445" s="19">
        <v>865</v>
      </c>
      <c r="H1445" s="19">
        <v>1428</v>
      </c>
      <c r="I1445" s="10">
        <v>1550</v>
      </c>
      <c r="J1445" s="9">
        <v>1470</v>
      </c>
      <c r="K1445" s="10">
        <v>1470</v>
      </c>
      <c r="L1445" s="9">
        <v>1470</v>
      </c>
      <c r="M1445" s="9">
        <v>1470</v>
      </c>
      <c r="N1445" s="9">
        <v>1470</v>
      </c>
      <c r="O1445" s="9">
        <v>1600</v>
      </c>
      <c r="P1445" s="9">
        <v>1600</v>
      </c>
      <c r="Q1445" s="9">
        <v>1964</v>
      </c>
    </row>
    <row r="1446" spans="1:15" ht="12.75" hidden="1">
      <c r="A1446" s="3" t="s">
        <v>1585</v>
      </c>
      <c r="B1446" s="40">
        <v>6760.1</v>
      </c>
      <c r="C1446" s="36">
        <v>558200</v>
      </c>
      <c r="E1446" s="3" t="s">
        <v>250</v>
      </c>
      <c r="F1446" s="19">
        <v>0</v>
      </c>
      <c r="G1446" s="19">
        <v>0</v>
      </c>
      <c r="H1446" s="19">
        <v>0</v>
      </c>
      <c r="I1446" s="10">
        <v>0</v>
      </c>
      <c r="J1446" s="9">
        <v>0</v>
      </c>
      <c r="K1446" s="10">
        <v>0</v>
      </c>
      <c r="L1446" s="9">
        <v>0</v>
      </c>
      <c r="N1446" s="9">
        <v>0</v>
      </c>
      <c r="O1446" s="9">
        <v>0</v>
      </c>
    </row>
    <row r="1447" spans="5:18" ht="12.75">
      <c r="E1447" s="20" t="s">
        <v>2187</v>
      </c>
      <c r="F1447" s="21">
        <f aca="true" t="shared" si="320" ref="F1447:L1447">SUM(F1438:F1446)</f>
        <v>150222</v>
      </c>
      <c r="G1447" s="21">
        <f t="shared" si="320"/>
        <v>155187.12</v>
      </c>
      <c r="H1447" s="21">
        <f t="shared" si="320"/>
        <v>166695.72</v>
      </c>
      <c r="I1447" s="22">
        <f t="shared" si="320"/>
        <v>174536.66</v>
      </c>
      <c r="J1447" s="23">
        <f t="shared" si="320"/>
        <v>201795.25</v>
      </c>
      <c r="K1447" s="23">
        <f t="shared" si="320"/>
        <v>207684.63</v>
      </c>
      <c r="L1447" s="7">
        <f t="shared" si="320"/>
        <v>195968.94</v>
      </c>
      <c r="M1447" s="7">
        <f aca="true" t="shared" si="321" ref="M1447:R1447">SUM(M1438:M1446)</f>
        <v>198585.20999999996</v>
      </c>
      <c r="N1447" s="7">
        <f t="shared" si="321"/>
        <v>216034.53</v>
      </c>
      <c r="O1447" s="7">
        <f t="shared" si="321"/>
        <v>206638</v>
      </c>
      <c r="P1447" s="7">
        <f t="shared" si="321"/>
        <v>207638</v>
      </c>
      <c r="Q1447" s="7">
        <f t="shared" si="321"/>
        <v>214446</v>
      </c>
      <c r="R1447" s="7">
        <f t="shared" si="321"/>
        <v>0</v>
      </c>
    </row>
    <row r="1448" spans="3:9" ht="12.75">
      <c r="C1448" s="196">
        <v>16112</v>
      </c>
      <c r="D1448" s="196"/>
      <c r="I1448" s="10"/>
    </row>
    <row r="1449" spans="1:17" ht="12.75">
      <c r="A1449" s="3" t="s">
        <v>1589</v>
      </c>
      <c r="B1449" s="11" t="s">
        <v>1590</v>
      </c>
      <c r="C1449" s="36">
        <v>522800</v>
      </c>
      <c r="E1449" s="3" t="s">
        <v>1162</v>
      </c>
      <c r="F1449" s="19">
        <v>12699</v>
      </c>
      <c r="G1449" s="19">
        <v>12935.74</v>
      </c>
      <c r="H1449" s="19">
        <v>9659.2</v>
      </c>
      <c r="I1449" s="10">
        <v>17248.88</v>
      </c>
      <c r="J1449" s="9">
        <v>10713.72</v>
      </c>
      <c r="K1449" s="10">
        <v>17891.85</v>
      </c>
      <c r="L1449" s="9">
        <v>19502.88</v>
      </c>
      <c r="M1449" s="9">
        <v>18862.77</v>
      </c>
      <c r="N1449" s="9">
        <v>19878.75</v>
      </c>
      <c r="O1449" s="9">
        <f>21500-3593</f>
        <v>17907</v>
      </c>
      <c r="P1449" s="9">
        <v>17812</v>
      </c>
      <c r="Q1449" s="9">
        <v>19512</v>
      </c>
    </row>
    <row r="1450" spans="1:17" ht="12.75">
      <c r="A1450" s="3" t="s">
        <v>1586</v>
      </c>
      <c r="B1450" s="11" t="s">
        <v>1587</v>
      </c>
      <c r="C1450" s="36">
        <v>522900</v>
      </c>
      <c r="E1450" s="3" t="s">
        <v>1588</v>
      </c>
      <c r="F1450" s="19">
        <v>27747</v>
      </c>
      <c r="G1450" s="19">
        <v>28314.29</v>
      </c>
      <c r="H1450" s="19">
        <v>30900.77</v>
      </c>
      <c r="I1450" s="10">
        <v>29183.28</v>
      </c>
      <c r="J1450" s="9">
        <v>30073.63</v>
      </c>
      <c r="K1450" s="10">
        <v>32025.08</v>
      </c>
      <c r="L1450" s="9">
        <v>28755.24</v>
      </c>
      <c r="M1450" s="9">
        <v>25877.95</v>
      </c>
      <c r="N1450" s="9">
        <v>23501.51</v>
      </c>
      <c r="O1450" s="9">
        <f>32000-482</f>
        <v>31518</v>
      </c>
      <c r="P1450" s="9">
        <v>31518</v>
      </c>
      <c r="Q1450" s="9">
        <v>49136</v>
      </c>
    </row>
    <row r="1451" spans="1:17" ht="12.75">
      <c r="A1451" s="3" t="s">
        <v>1591</v>
      </c>
      <c r="B1451" s="11" t="s">
        <v>1592</v>
      </c>
      <c r="C1451" s="36">
        <v>523100</v>
      </c>
      <c r="E1451" s="3" t="s">
        <v>2963</v>
      </c>
      <c r="F1451" s="19">
        <v>1338</v>
      </c>
      <c r="G1451" s="19">
        <v>799.6</v>
      </c>
      <c r="H1451" s="19">
        <v>2227.11</v>
      </c>
      <c r="I1451" s="10">
        <v>3438.64</v>
      </c>
      <c r="J1451" s="10">
        <v>3946.67</v>
      </c>
      <c r="K1451" s="10">
        <v>4039.82</v>
      </c>
      <c r="L1451" s="9">
        <v>4394.27</v>
      </c>
      <c r="M1451" s="9">
        <v>6060.18</v>
      </c>
      <c r="N1451" s="9">
        <v>5146.74</v>
      </c>
      <c r="O1451" s="9">
        <f>6300-155</f>
        <v>6145</v>
      </c>
      <c r="P1451" s="9">
        <v>6145</v>
      </c>
      <c r="Q1451" s="9">
        <v>6428</v>
      </c>
    </row>
    <row r="1452" spans="1:17" ht="12.75">
      <c r="A1452" s="3" t="s">
        <v>1593</v>
      </c>
      <c r="B1452" s="11" t="s">
        <v>1594</v>
      </c>
      <c r="C1452" s="36">
        <v>524300</v>
      </c>
      <c r="E1452" s="3" t="s">
        <v>288</v>
      </c>
      <c r="F1452" s="19">
        <v>43546</v>
      </c>
      <c r="G1452" s="19">
        <v>54236.02</v>
      </c>
      <c r="H1452" s="19">
        <v>48539.44</v>
      </c>
      <c r="I1452" s="10">
        <v>54301.08</v>
      </c>
      <c r="J1452" s="9">
        <v>51356.97</v>
      </c>
      <c r="K1452" s="10">
        <v>55887.83</v>
      </c>
      <c r="L1452" s="9">
        <v>63364.27</v>
      </c>
      <c r="M1452" s="9">
        <v>66789.84</v>
      </c>
      <c r="N1452" s="9">
        <v>63534.37</v>
      </c>
      <c r="O1452" s="9">
        <f>64000-1000</f>
        <v>63000</v>
      </c>
      <c r="P1452" s="9">
        <v>63000</v>
      </c>
      <c r="Q1452" s="9">
        <v>64250</v>
      </c>
    </row>
    <row r="1453" spans="1:17" ht="12.75">
      <c r="A1453" s="3" t="s">
        <v>1595</v>
      </c>
      <c r="B1453" s="11" t="s">
        <v>1596</v>
      </c>
      <c r="C1453" s="36">
        <v>524300</v>
      </c>
      <c r="E1453" s="3" t="s">
        <v>1597</v>
      </c>
      <c r="F1453" s="19">
        <v>523</v>
      </c>
      <c r="G1453" s="19">
        <v>601.9</v>
      </c>
      <c r="H1453" s="19">
        <v>459.91</v>
      </c>
      <c r="I1453" s="10">
        <v>615.46</v>
      </c>
      <c r="J1453" s="9">
        <v>610</v>
      </c>
      <c r="K1453" s="10">
        <v>232.82</v>
      </c>
      <c r="L1453" s="9">
        <v>710</v>
      </c>
      <c r="M1453" s="9">
        <v>465.37</v>
      </c>
      <c r="N1453" s="9">
        <v>885</v>
      </c>
      <c r="O1453" s="9">
        <v>700</v>
      </c>
      <c r="P1453" s="9">
        <v>700</v>
      </c>
      <c r="Q1453" s="9">
        <v>750</v>
      </c>
    </row>
    <row r="1454" spans="1:17" ht="12.75">
      <c r="A1454" s="3" t="s">
        <v>1746</v>
      </c>
      <c r="B1454" s="11" t="s">
        <v>1747</v>
      </c>
      <c r="C1454" s="36">
        <v>524400</v>
      </c>
      <c r="E1454" s="3" t="s">
        <v>1748</v>
      </c>
      <c r="F1454" s="19">
        <v>550</v>
      </c>
      <c r="G1454" s="19">
        <v>739.68</v>
      </c>
      <c r="H1454" s="19">
        <v>549.34</v>
      </c>
      <c r="I1454" s="10">
        <v>318.31</v>
      </c>
      <c r="J1454" s="9">
        <v>471.18</v>
      </c>
      <c r="K1454" s="10">
        <v>99.78</v>
      </c>
      <c r="L1454" s="9">
        <v>29</v>
      </c>
      <c r="M1454" s="9">
        <v>103.66</v>
      </c>
      <c r="N1454" s="9">
        <v>178.83</v>
      </c>
      <c r="O1454" s="9">
        <v>400</v>
      </c>
      <c r="P1454" s="9">
        <v>350</v>
      </c>
      <c r="Q1454" s="9">
        <v>400</v>
      </c>
    </row>
    <row r="1455" spans="1:17" ht="12.75">
      <c r="A1455" s="3" t="s">
        <v>1598</v>
      </c>
      <c r="B1455" s="11" t="s">
        <v>1599</v>
      </c>
      <c r="C1455" s="36">
        <v>524500</v>
      </c>
      <c r="E1455" s="3" t="s">
        <v>640</v>
      </c>
      <c r="F1455" s="19">
        <v>1469</v>
      </c>
      <c r="G1455" s="19">
        <v>1491.95</v>
      </c>
      <c r="H1455" s="19">
        <v>1507.42</v>
      </c>
      <c r="I1455" s="10">
        <v>1646.54</v>
      </c>
      <c r="J1455" s="9">
        <v>446</v>
      </c>
      <c r="K1455" s="10">
        <v>474.61</v>
      </c>
      <c r="L1455" s="9">
        <v>804.24</v>
      </c>
      <c r="M1455" s="9">
        <v>1273.5</v>
      </c>
      <c r="N1455" s="9">
        <v>643.23</v>
      </c>
      <c r="O1455" s="9">
        <v>800</v>
      </c>
      <c r="P1455" s="9">
        <v>730</v>
      </c>
      <c r="Q1455" s="9">
        <v>800</v>
      </c>
    </row>
    <row r="1456" spans="1:17" ht="12.75">
      <c r="A1456" s="3" t="s">
        <v>1600</v>
      </c>
      <c r="B1456" s="11" t="s">
        <v>1601</v>
      </c>
      <c r="C1456" s="36">
        <v>524500</v>
      </c>
      <c r="E1456" s="3" t="s">
        <v>1727</v>
      </c>
      <c r="F1456" s="19">
        <v>4212</v>
      </c>
      <c r="G1456" s="19">
        <v>4838.62</v>
      </c>
      <c r="H1456" s="19">
        <v>4594.97</v>
      </c>
      <c r="I1456" s="10">
        <v>5138.95</v>
      </c>
      <c r="J1456" s="9">
        <v>4646.42</v>
      </c>
      <c r="K1456" s="10">
        <v>4541.31</v>
      </c>
      <c r="L1456" s="9">
        <v>4596.76</v>
      </c>
      <c r="M1456" s="9">
        <v>4737.39</v>
      </c>
      <c r="N1456" s="9">
        <v>4576.15</v>
      </c>
      <c r="O1456" s="9">
        <v>4600</v>
      </c>
      <c r="P1456" s="9">
        <v>4500</v>
      </c>
      <c r="Q1456" s="9">
        <v>4600</v>
      </c>
    </row>
    <row r="1457" spans="1:17" ht="12.75">
      <c r="A1457" s="3" t="s">
        <v>1728</v>
      </c>
      <c r="B1457" s="11" t="s">
        <v>1729</v>
      </c>
      <c r="C1457" s="36">
        <v>530001</v>
      </c>
      <c r="E1457" s="3" t="s">
        <v>1730</v>
      </c>
      <c r="F1457" s="19">
        <v>240</v>
      </c>
      <c r="G1457" s="19">
        <v>190</v>
      </c>
      <c r="H1457" s="19">
        <v>65</v>
      </c>
      <c r="I1457" s="10">
        <v>65</v>
      </c>
      <c r="J1457" s="9">
        <v>130</v>
      </c>
      <c r="K1457" s="10">
        <v>130</v>
      </c>
      <c r="L1457" s="9">
        <v>195</v>
      </c>
      <c r="M1457" s="9">
        <v>260</v>
      </c>
      <c r="N1457" s="9">
        <v>195</v>
      </c>
      <c r="O1457" s="9">
        <v>300</v>
      </c>
      <c r="P1457" s="9">
        <v>300</v>
      </c>
      <c r="Q1457" s="9">
        <v>300</v>
      </c>
    </row>
    <row r="1458" spans="1:17" ht="12.75">
      <c r="A1458" s="3" t="s">
        <v>1731</v>
      </c>
      <c r="B1458" s="11" t="s">
        <v>1732</v>
      </c>
      <c r="C1458" s="36">
        <v>531700</v>
      </c>
      <c r="E1458" s="3" t="s">
        <v>1207</v>
      </c>
      <c r="F1458" s="19">
        <v>500</v>
      </c>
      <c r="G1458" s="19">
        <v>1247.25</v>
      </c>
      <c r="H1458" s="19">
        <v>1192.5</v>
      </c>
      <c r="I1458" s="10">
        <v>1855</v>
      </c>
      <c r="J1458" s="9">
        <v>838.95</v>
      </c>
      <c r="K1458" s="10">
        <v>435</v>
      </c>
      <c r="L1458" s="9">
        <v>500</v>
      </c>
      <c r="M1458" s="9">
        <v>438.1</v>
      </c>
      <c r="N1458" s="9">
        <v>466.66</v>
      </c>
      <c r="O1458" s="9">
        <v>500</v>
      </c>
      <c r="P1458" s="9">
        <v>500</v>
      </c>
      <c r="Q1458" s="9">
        <v>500</v>
      </c>
    </row>
    <row r="1459" spans="1:17" ht="12.75">
      <c r="A1459" s="3" t="s">
        <v>1733</v>
      </c>
      <c r="B1459" s="11" t="s">
        <v>1734</v>
      </c>
      <c r="C1459" s="36">
        <v>531900</v>
      </c>
      <c r="E1459" s="3" t="s">
        <v>1335</v>
      </c>
      <c r="F1459" s="19">
        <v>443</v>
      </c>
      <c r="G1459" s="19">
        <v>563.88</v>
      </c>
      <c r="H1459" s="19">
        <v>927.2</v>
      </c>
      <c r="I1459" s="10">
        <v>1015.1</v>
      </c>
      <c r="J1459" s="9">
        <v>922.64</v>
      </c>
      <c r="K1459" s="10">
        <v>324.94</v>
      </c>
      <c r="L1459" s="9">
        <v>667.38</v>
      </c>
      <c r="M1459" s="9">
        <v>543.4</v>
      </c>
      <c r="N1459" s="9">
        <v>563.52</v>
      </c>
      <c r="O1459" s="9">
        <v>500</v>
      </c>
      <c r="P1459" s="9">
        <v>500</v>
      </c>
      <c r="Q1459" s="9">
        <v>500</v>
      </c>
    </row>
    <row r="1460" spans="1:17" ht="12.75">
      <c r="A1460" s="3" t="s">
        <v>1737</v>
      </c>
      <c r="B1460" s="11" t="s">
        <v>1738</v>
      </c>
      <c r="C1460" s="36">
        <v>534500</v>
      </c>
      <c r="E1460" s="3" t="s">
        <v>2195</v>
      </c>
      <c r="F1460" s="19">
        <v>4464</v>
      </c>
      <c r="G1460" s="19">
        <v>3776.01</v>
      </c>
      <c r="H1460" s="19">
        <v>5461.91</v>
      </c>
      <c r="I1460" s="10">
        <v>5349.18</v>
      </c>
      <c r="J1460" s="9">
        <v>4877.07</v>
      </c>
      <c r="K1460" s="10">
        <v>5569.95</v>
      </c>
      <c r="L1460" s="9">
        <v>3563.8</v>
      </c>
      <c r="M1460" s="9">
        <v>4518.69</v>
      </c>
      <c r="N1460" s="9">
        <v>3494.17</v>
      </c>
      <c r="O1460" s="9">
        <f>4500-500</f>
        <v>4000</v>
      </c>
      <c r="P1460" s="9">
        <v>4000</v>
      </c>
      <c r="Q1460" s="9">
        <v>4120</v>
      </c>
    </row>
    <row r="1461" spans="1:17" ht="12.75">
      <c r="A1461" s="3" t="s">
        <v>1735</v>
      </c>
      <c r="B1461" s="11" t="s">
        <v>1736</v>
      </c>
      <c r="C1461" s="36">
        <v>534700</v>
      </c>
      <c r="E1461" s="3" t="s">
        <v>2193</v>
      </c>
      <c r="F1461" s="19">
        <v>1399</v>
      </c>
      <c r="G1461" s="19">
        <v>1398.21</v>
      </c>
      <c r="H1461" s="19">
        <v>2509.14</v>
      </c>
      <c r="I1461" s="10">
        <v>3145.55</v>
      </c>
      <c r="J1461" s="9">
        <v>2453.83</v>
      </c>
      <c r="K1461" s="10">
        <v>2132.37</v>
      </c>
      <c r="L1461" s="9">
        <v>1796.32</v>
      </c>
      <c r="M1461" s="9">
        <v>2077.53</v>
      </c>
      <c r="N1461" s="9">
        <v>1799.63</v>
      </c>
      <c r="O1461" s="9">
        <f>1800</f>
        <v>1800</v>
      </c>
      <c r="P1461" s="9">
        <v>1800</v>
      </c>
      <c r="Q1461" s="9">
        <v>2000</v>
      </c>
    </row>
    <row r="1462" spans="1:17" ht="12.75">
      <c r="A1462" s="3" t="s">
        <v>1739</v>
      </c>
      <c r="B1462" s="11" t="s">
        <v>1740</v>
      </c>
      <c r="C1462" s="36">
        <v>542100</v>
      </c>
      <c r="E1462" s="3" t="s">
        <v>2335</v>
      </c>
      <c r="F1462" s="19">
        <v>960</v>
      </c>
      <c r="G1462" s="19">
        <v>1214.28</v>
      </c>
      <c r="H1462" s="19">
        <v>989.27</v>
      </c>
      <c r="I1462" s="10">
        <v>978.77</v>
      </c>
      <c r="J1462" s="9">
        <v>862.6</v>
      </c>
      <c r="K1462" s="10">
        <v>439.23</v>
      </c>
      <c r="L1462" s="9">
        <v>913.68</v>
      </c>
      <c r="M1462" s="9">
        <v>898.6</v>
      </c>
      <c r="N1462" s="9">
        <v>892.26</v>
      </c>
      <c r="O1462" s="9">
        <v>900</v>
      </c>
      <c r="P1462" s="9">
        <v>890</v>
      </c>
      <c r="Q1462" s="9">
        <v>900</v>
      </c>
    </row>
    <row r="1463" spans="1:17" ht="12.75">
      <c r="A1463" s="3" t="s">
        <v>1741</v>
      </c>
      <c r="B1463" s="11" t="s">
        <v>1742</v>
      </c>
      <c r="C1463" s="36">
        <v>545000</v>
      </c>
      <c r="E1463" s="3" t="s">
        <v>1743</v>
      </c>
      <c r="F1463" s="19">
        <v>7395</v>
      </c>
      <c r="G1463" s="19">
        <v>7779.94</v>
      </c>
      <c r="H1463" s="19">
        <v>8127.9</v>
      </c>
      <c r="I1463" s="10">
        <v>8017.72</v>
      </c>
      <c r="J1463" s="9">
        <v>8095.07</v>
      </c>
      <c r="K1463" s="10">
        <v>7746.38</v>
      </c>
      <c r="L1463" s="9">
        <v>7810.37</v>
      </c>
      <c r="M1463" s="9">
        <v>7814.54</v>
      </c>
      <c r="N1463" s="9">
        <v>7795.15</v>
      </c>
      <c r="O1463" s="9">
        <v>8000</v>
      </c>
      <c r="P1463" s="9">
        <v>8000</v>
      </c>
      <c r="Q1463" s="9">
        <v>8400</v>
      </c>
    </row>
    <row r="1464" spans="1:17" ht="12.75">
      <c r="A1464" s="3" t="s">
        <v>1744</v>
      </c>
      <c r="B1464" s="11" t="s">
        <v>1745</v>
      </c>
      <c r="C1464" s="36">
        <v>548900</v>
      </c>
      <c r="E1464" s="3" t="s">
        <v>350</v>
      </c>
      <c r="F1464" s="19">
        <v>147</v>
      </c>
      <c r="G1464" s="19">
        <v>154.66</v>
      </c>
      <c r="H1464" s="19">
        <v>199.04</v>
      </c>
      <c r="I1464" s="10">
        <v>243.32</v>
      </c>
      <c r="J1464" s="10">
        <v>335.92</v>
      </c>
      <c r="K1464" s="10">
        <v>361.86</v>
      </c>
      <c r="L1464" s="9">
        <v>360.56</v>
      </c>
      <c r="M1464" s="9">
        <v>445.3</v>
      </c>
      <c r="N1464" s="9">
        <v>568.52</v>
      </c>
      <c r="O1464" s="9">
        <v>600</v>
      </c>
      <c r="P1464" s="9">
        <v>600</v>
      </c>
      <c r="Q1464" s="9">
        <v>750</v>
      </c>
    </row>
    <row r="1465" spans="1:17" ht="12.75">
      <c r="A1465" s="3" t="s">
        <v>1749</v>
      </c>
      <c r="B1465" s="11" t="s">
        <v>1750</v>
      </c>
      <c r="C1465" s="36">
        <v>571000</v>
      </c>
      <c r="E1465" s="3" t="s">
        <v>2270</v>
      </c>
      <c r="F1465" s="19">
        <v>1718</v>
      </c>
      <c r="G1465" s="19">
        <v>1291.02</v>
      </c>
      <c r="H1465" s="19">
        <v>1183.82</v>
      </c>
      <c r="I1465" s="10">
        <v>1242.35</v>
      </c>
      <c r="J1465" s="9">
        <v>719.25</v>
      </c>
      <c r="K1465" s="10">
        <v>343.48</v>
      </c>
      <c r="L1465" s="9">
        <v>825.96</v>
      </c>
      <c r="M1465" s="9">
        <v>623.05</v>
      </c>
      <c r="N1465" s="9">
        <v>899.51</v>
      </c>
      <c r="O1465" s="9">
        <f>800-400</f>
        <v>400</v>
      </c>
      <c r="P1465" s="9">
        <v>400</v>
      </c>
      <c r="Q1465" s="9">
        <v>450</v>
      </c>
    </row>
    <row r="1466" spans="1:17" ht="12.75">
      <c r="A1466" s="3" t="s">
        <v>1751</v>
      </c>
      <c r="B1466" s="11" t="s">
        <v>1752</v>
      </c>
      <c r="C1466" s="36">
        <v>573000</v>
      </c>
      <c r="E1466" s="3" t="s">
        <v>2433</v>
      </c>
      <c r="F1466" s="19">
        <v>420</v>
      </c>
      <c r="G1466" s="19">
        <v>445</v>
      </c>
      <c r="H1466" s="19">
        <v>500</v>
      </c>
      <c r="I1466" s="10">
        <v>600</v>
      </c>
      <c r="J1466" s="9">
        <v>540</v>
      </c>
      <c r="K1466" s="10">
        <v>540</v>
      </c>
      <c r="L1466" s="9">
        <v>465</v>
      </c>
      <c r="M1466" s="9">
        <v>495</v>
      </c>
      <c r="N1466" s="9">
        <v>585</v>
      </c>
      <c r="O1466" s="9">
        <v>450</v>
      </c>
      <c r="P1466" s="9">
        <v>450</v>
      </c>
      <c r="Q1466" s="9">
        <v>555</v>
      </c>
    </row>
    <row r="1467" spans="5:18" ht="12.75">
      <c r="E1467" s="20" t="s">
        <v>2274</v>
      </c>
      <c r="F1467" s="25">
        <f aca="true" t="shared" si="322" ref="F1467:L1467">SUM(F1465:F1466)</f>
        <v>2138</v>
      </c>
      <c r="G1467" s="25">
        <f t="shared" si="322"/>
        <v>1736.02</v>
      </c>
      <c r="H1467" s="25">
        <f t="shared" si="322"/>
        <v>1683.82</v>
      </c>
      <c r="I1467" s="23">
        <f t="shared" si="322"/>
        <v>1842.35</v>
      </c>
      <c r="J1467" s="23">
        <f t="shared" si="322"/>
        <v>1259.25</v>
      </c>
      <c r="K1467" s="23">
        <f t="shared" si="322"/>
        <v>883.48</v>
      </c>
      <c r="L1467" s="7">
        <f t="shared" si="322"/>
        <v>1290.96</v>
      </c>
      <c r="M1467" s="7">
        <f aca="true" t="shared" si="323" ref="M1467:R1467">SUM(M1449:M1466)</f>
        <v>142284.87</v>
      </c>
      <c r="N1467" s="7">
        <f t="shared" si="323"/>
        <v>135604</v>
      </c>
      <c r="O1467" s="7">
        <f t="shared" si="323"/>
        <v>142520</v>
      </c>
      <c r="P1467" s="7">
        <f t="shared" si="323"/>
        <v>142195</v>
      </c>
      <c r="Q1467" s="7">
        <f t="shared" si="323"/>
        <v>164351</v>
      </c>
      <c r="R1467" s="7">
        <f t="shared" si="323"/>
        <v>0</v>
      </c>
    </row>
    <row r="1468" ht="6.75" customHeight="1">
      <c r="I1468" s="10"/>
    </row>
    <row r="1469" spans="5:18" ht="12.75">
      <c r="E1469" s="2" t="s">
        <v>1753</v>
      </c>
      <c r="F1469" s="31">
        <f aca="true" t="shared" si="324" ref="F1469:L1469">SUM(F1438:F1467)/2</f>
        <v>206176</v>
      </c>
      <c r="G1469" s="31">
        <f t="shared" si="324"/>
        <v>217064.15500000003</v>
      </c>
      <c r="H1469" s="31">
        <f t="shared" si="324"/>
        <v>227334.6</v>
      </c>
      <c r="I1469" s="28">
        <f t="shared" si="324"/>
        <v>242659.39999999997</v>
      </c>
      <c r="J1469" s="28">
        <f t="shared" si="324"/>
        <v>263444.835</v>
      </c>
      <c r="K1469" s="28">
        <f t="shared" si="324"/>
        <v>274734.5249999999</v>
      </c>
      <c r="L1469" s="32">
        <f t="shared" si="324"/>
        <v>266241.78500000003</v>
      </c>
      <c r="M1469" s="32">
        <f aca="true" t="shared" si="325" ref="M1469:R1469">SUM(M1438:M1467)/2</f>
        <v>340870.08</v>
      </c>
      <c r="N1469" s="32">
        <f t="shared" si="325"/>
        <v>351638.5300000001</v>
      </c>
      <c r="O1469" s="32">
        <f t="shared" si="325"/>
        <v>349158</v>
      </c>
      <c r="P1469" s="32">
        <f t="shared" si="325"/>
        <v>349833</v>
      </c>
      <c r="Q1469" s="32">
        <f t="shared" si="325"/>
        <v>378797</v>
      </c>
      <c r="R1469" s="32">
        <f t="shared" si="325"/>
        <v>0</v>
      </c>
    </row>
    <row r="1470" spans="5:9" ht="12.75">
      <c r="E1470" s="38"/>
      <c r="I1470" s="10"/>
    </row>
    <row r="1471" spans="1:10" ht="12.75">
      <c r="A1471" s="3" t="s">
        <v>2180</v>
      </c>
      <c r="C1471" s="196">
        <v>16121</v>
      </c>
      <c r="D1471" s="196"/>
      <c r="E1471" s="163" t="s">
        <v>1754</v>
      </c>
      <c r="I1471" s="10"/>
      <c r="J1471" s="10"/>
    </row>
    <row r="1472" spans="1:17" ht="12.75">
      <c r="A1472" s="3" t="s">
        <v>1755</v>
      </c>
      <c r="B1472" s="11" t="s">
        <v>1756</v>
      </c>
      <c r="C1472" s="36">
        <v>511000</v>
      </c>
      <c r="E1472" s="3" t="s">
        <v>2363</v>
      </c>
      <c r="F1472" s="19">
        <v>343657</v>
      </c>
      <c r="G1472" s="19">
        <v>345474.47</v>
      </c>
      <c r="H1472" s="19">
        <v>389907.46</v>
      </c>
      <c r="I1472" s="10">
        <v>396567.37</v>
      </c>
      <c r="J1472" s="10">
        <v>436999.37</v>
      </c>
      <c r="K1472" s="10">
        <v>440116.8</v>
      </c>
      <c r="L1472" s="9">
        <v>399357.06</v>
      </c>
      <c r="M1472" s="9">
        <v>442276.45</v>
      </c>
      <c r="N1472" s="9">
        <v>450220.24</v>
      </c>
      <c r="O1472" s="9">
        <v>483741</v>
      </c>
      <c r="P1472" s="9">
        <v>483741</v>
      </c>
      <c r="Q1472" s="9">
        <v>477791</v>
      </c>
    </row>
    <row r="1473" spans="1:17" ht="12.75">
      <c r="A1473" s="3" t="s">
        <v>1757</v>
      </c>
      <c r="B1473" s="11" t="s">
        <v>1758</v>
      </c>
      <c r="C1473" s="36">
        <v>511100</v>
      </c>
      <c r="E1473" s="3" t="s">
        <v>2370</v>
      </c>
      <c r="F1473" s="19">
        <v>103607</v>
      </c>
      <c r="G1473" s="19">
        <v>145598.27</v>
      </c>
      <c r="H1473" s="19">
        <v>165631.62</v>
      </c>
      <c r="I1473" s="10">
        <v>172434.32</v>
      </c>
      <c r="J1473" s="9">
        <v>186484.86</v>
      </c>
      <c r="K1473" s="10">
        <v>190555.35</v>
      </c>
      <c r="L1473" s="9">
        <v>200451.88</v>
      </c>
      <c r="M1473" s="9">
        <v>191919.8</v>
      </c>
      <c r="N1473" s="9">
        <v>224496.52</v>
      </c>
      <c r="O1473" s="9">
        <f>189413-10901</f>
        <v>178512</v>
      </c>
      <c r="P1473" s="9">
        <v>178512</v>
      </c>
      <c r="Q1473" s="9">
        <v>189425</v>
      </c>
    </row>
    <row r="1474" spans="1:17" ht="12.75">
      <c r="A1474" s="3" t="s">
        <v>1759</v>
      </c>
      <c r="B1474" s="11" t="s">
        <v>1760</v>
      </c>
      <c r="C1474" s="36">
        <v>513000</v>
      </c>
      <c r="E1474" s="3" t="s">
        <v>2186</v>
      </c>
      <c r="F1474" s="19">
        <v>1900</v>
      </c>
      <c r="G1474" s="19">
        <v>1952.25</v>
      </c>
      <c r="H1474" s="19">
        <v>1820.26</v>
      </c>
      <c r="I1474" s="10">
        <v>2755.88</v>
      </c>
      <c r="J1474" s="9">
        <v>2263.5</v>
      </c>
      <c r="K1474" s="10">
        <v>1856.33</v>
      </c>
      <c r="L1474" s="9">
        <v>2852.2</v>
      </c>
      <c r="M1474" s="9">
        <v>2387.11</v>
      </c>
      <c r="N1474" s="9">
        <v>501.86</v>
      </c>
      <c r="O1474" s="9">
        <v>2000</v>
      </c>
      <c r="P1474" s="9">
        <v>2000</v>
      </c>
      <c r="Q1474" s="9">
        <v>2000</v>
      </c>
    </row>
    <row r="1475" spans="1:17" ht="12.75">
      <c r="A1475" s="3" t="s">
        <v>1761</v>
      </c>
      <c r="B1475" s="11" t="s">
        <v>1762</v>
      </c>
      <c r="C1475" s="36">
        <v>514800</v>
      </c>
      <c r="E1475" s="3" t="s">
        <v>2288</v>
      </c>
      <c r="F1475" s="19">
        <v>3088</v>
      </c>
      <c r="G1475" s="19">
        <v>2987.55</v>
      </c>
      <c r="H1475" s="19">
        <v>2875</v>
      </c>
      <c r="I1475" s="10">
        <v>3000</v>
      </c>
      <c r="J1475" s="9">
        <v>2775</v>
      </c>
      <c r="K1475" s="10">
        <v>3021.41</v>
      </c>
      <c r="L1475" s="9">
        <v>2646.43</v>
      </c>
      <c r="M1475" s="9">
        <v>2871.42</v>
      </c>
      <c r="N1475" s="9">
        <v>4767.86</v>
      </c>
      <c r="O1475" s="9">
        <v>4604</v>
      </c>
      <c r="P1475" s="9">
        <v>4404</v>
      </c>
      <c r="Q1475" s="9">
        <v>4043</v>
      </c>
    </row>
    <row r="1476" spans="1:17" ht="12.75">
      <c r="A1476" s="3" t="s">
        <v>1767</v>
      </c>
      <c r="B1476" s="11" t="s">
        <v>1768</v>
      </c>
      <c r="C1476" s="36">
        <v>517000</v>
      </c>
      <c r="E1476" s="3" t="s">
        <v>2222</v>
      </c>
      <c r="F1476" s="19">
        <v>33369</v>
      </c>
      <c r="G1476" s="19">
        <v>30394</v>
      </c>
      <c r="H1476" s="19">
        <v>33759</v>
      </c>
      <c r="I1476" s="10">
        <v>35144</v>
      </c>
      <c r="J1476" s="9">
        <v>52325</v>
      </c>
      <c r="K1476" s="10">
        <v>53712</v>
      </c>
      <c r="L1476" s="9">
        <v>65395</v>
      </c>
      <c r="M1476" s="9">
        <v>53170.85</v>
      </c>
      <c r="N1476" s="9">
        <v>69623</v>
      </c>
      <c r="O1476" s="9">
        <v>76349</v>
      </c>
      <c r="P1476" s="9">
        <v>76349</v>
      </c>
      <c r="Q1476" s="9">
        <v>105344</v>
      </c>
    </row>
    <row r="1477" spans="1:17" ht="12.75">
      <c r="A1477" s="3" t="s">
        <v>1763</v>
      </c>
      <c r="B1477" s="11" t="s">
        <v>1764</v>
      </c>
      <c r="C1477" s="36">
        <v>517200</v>
      </c>
      <c r="E1477" s="3" t="s">
        <v>2291</v>
      </c>
      <c r="F1477" s="19">
        <v>957</v>
      </c>
      <c r="G1477" s="19">
        <v>718</v>
      </c>
      <c r="H1477" s="19">
        <v>718</v>
      </c>
      <c r="I1477" s="10">
        <v>718</v>
      </c>
      <c r="J1477" s="9">
        <v>718</v>
      </c>
      <c r="K1477" s="10">
        <v>718</v>
      </c>
      <c r="L1477" s="9">
        <v>718</v>
      </c>
      <c r="M1477" s="9">
        <v>1238</v>
      </c>
      <c r="N1477" s="9">
        <v>953</v>
      </c>
      <c r="O1477" s="9">
        <v>1096</v>
      </c>
      <c r="P1477" s="9">
        <v>1096</v>
      </c>
      <c r="Q1477" s="9">
        <v>1151</v>
      </c>
    </row>
    <row r="1478" spans="1:17" ht="12.75">
      <c r="A1478" s="3" t="s">
        <v>1769</v>
      </c>
      <c r="B1478" s="11" t="s">
        <v>1770</v>
      </c>
      <c r="C1478" s="36">
        <v>517800</v>
      </c>
      <c r="E1478" s="3" t="s">
        <v>2298</v>
      </c>
      <c r="F1478" s="19">
        <v>2666</v>
      </c>
      <c r="G1478" s="19">
        <v>3006</v>
      </c>
      <c r="H1478" s="19">
        <v>4105</v>
      </c>
      <c r="I1478" s="10">
        <v>4780</v>
      </c>
      <c r="J1478" s="9">
        <v>4200</v>
      </c>
      <c r="K1478" s="10">
        <v>4970</v>
      </c>
      <c r="L1478" s="9">
        <v>4970</v>
      </c>
      <c r="M1478" s="9">
        <v>4970</v>
      </c>
      <c r="N1478" s="9">
        <v>4970</v>
      </c>
      <c r="O1478" s="9">
        <v>4970</v>
      </c>
      <c r="P1478" s="9">
        <v>4970</v>
      </c>
      <c r="Q1478" s="9">
        <v>7686</v>
      </c>
    </row>
    <row r="1479" spans="1:17" ht="12.75">
      <c r="A1479" s="3" t="s">
        <v>1765</v>
      </c>
      <c r="B1479" s="11" t="s">
        <v>1766</v>
      </c>
      <c r="C1479" s="36">
        <v>517900</v>
      </c>
      <c r="E1479" s="3" t="s">
        <v>2219</v>
      </c>
      <c r="F1479" s="19">
        <v>120</v>
      </c>
      <c r="G1479" s="19">
        <v>120</v>
      </c>
      <c r="H1479" s="19">
        <v>120</v>
      </c>
      <c r="I1479" s="10">
        <v>0</v>
      </c>
      <c r="J1479" s="9">
        <v>0</v>
      </c>
      <c r="K1479" s="10">
        <v>0</v>
      </c>
      <c r="L1479" s="9">
        <v>0</v>
      </c>
      <c r="M1479" s="9">
        <v>0</v>
      </c>
      <c r="N1479" s="9">
        <v>0</v>
      </c>
      <c r="O1479" s="9">
        <v>199</v>
      </c>
      <c r="P1479" s="9">
        <v>199</v>
      </c>
      <c r="Q1479" s="9">
        <v>227</v>
      </c>
    </row>
    <row r="1480" spans="5:18" ht="12.75">
      <c r="E1480" s="20" t="s">
        <v>2187</v>
      </c>
      <c r="F1480" s="21">
        <f aca="true" t="shared" si="326" ref="F1480:L1480">SUM(F1472:F1479)</f>
        <v>489364</v>
      </c>
      <c r="G1480" s="21">
        <f t="shared" si="326"/>
        <v>530250.54</v>
      </c>
      <c r="H1480" s="21">
        <f t="shared" si="326"/>
        <v>598936.3400000001</v>
      </c>
      <c r="I1480" s="22">
        <f t="shared" si="326"/>
        <v>615399.57</v>
      </c>
      <c r="J1480" s="23">
        <f t="shared" si="326"/>
        <v>685765.73</v>
      </c>
      <c r="K1480" s="23">
        <f t="shared" si="326"/>
        <v>694949.89</v>
      </c>
      <c r="L1480" s="7">
        <f t="shared" si="326"/>
        <v>676390.57</v>
      </c>
      <c r="M1480" s="7">
        <f aca="true" t="shared" si="327" ref="M1480:R1480">SUM(M1472:M1479)</f>
        <v>698833.63</v>
      </c>
      <c r="N1480" s="7">
        <f t="shared" si="327"/>
        <v>755532.48</v>
      </c>
      <c r="O1480" s="7">
        <f t="shared" si="327"/>
        <v>751471</v>
      </c>
      <c r="P1480" s="7">
        <f t="shared" si="327"/>
        <v>751271</v>
      </c>
      <c r="Q1480" s="7">
        <f t="shared" si="327"/>
        <v>787667</v>
      </c>
      <c r="R1480" s="7">
        <f t="shared" si="327"/>
        <v>0</v>
      </c>
    </row>
    <row r="1481" spans="3:9" ht="12.75">
      <c r="C1481" s="196">
        <v>16122</v>
      </c>
      <c r="D1481" s="196"/>
      <c r="I1481" s="10"/>
    </row>
    <row r="1482" spans="1:17" ht="12.75">
      <c r="A1482" s="3" t="s">
        <v>1771</v>
      </c>
      <c r="B1482" s="11" t="s">
        <v>1772</v>
      </c>
      <c r="C1482" s="36">
        <v>530000</v>
      </c>
      <c r="E1482" s="3" t="s">
        <v>1773</v>
      </c>
      <c r="F1482" s="19">
        <v>5000</v>
      </c>
      <c r="G1482" s="19">
        <v>4905</v>
      </c>
      <c r="H1482" s="19">
        <v>3000</v>
      </c>
      <c r="I1482" s="10">
        <v>4936.13</v>
      </c>
      <c r="J1482" s="9">
        <v>2124.88</v>
      </c>
      <c r="K1482" s="10">
        <v>2635</v>
      </c>
      <c r="L1482" s="9">
        <v>2533.85</v>
      </c>
      <c r="M1482" s="9">
        <v>2041.09</v>
      </c>
      <c r="N1482" s="9">
        <v>2051.59</v>
      </c>
      <c r="O1482" s="9">
        <f>2050-550</f>
        <v>1500</v>
      </c>
      <c r="P1482" s="9">
        <v>1500</v>
      </c>
      <c r="Q1482" s="9">
        <v>1500</v>
      </c>
    </row>
    <row r="1483" spans="1:17" ht="12.75">
      <c r="A1483" s="3" t="s">
        <v>1774</v>
      </c>
      <c r="B1483" s="11" t="s">
        <v>1775</v>
      </c>
      <c r="C1483" s="36">
        <v>534100</v>
      </c>
      <c r="E1483" s="3" t="s">
        <v>2470</v>
      </c>
      <c r="F1483" s="19">
        <v>12741</v>
      </c>
      <c r="G1483" s="19">
        <v>14705.13</v>
      </c>
      <c r="H1483" s="19">
        <v>15387.23</v>
      </c>
      <c r="I1483" s="10">
        <v>10316.5</v>
      </c>
      <c r="J1483" s="9">
        <v>9713.52</v>
      </c>
      <c r="K1483" s="10">
        <v>8533.03</v>
      </c>
      <c r="L1483" s="9">
        <v>8828.29</v>
      </c>
      <c r="M1483" s="9">
        <v>9126.05</v>
      </c>
      <c r="N1483" s="9">
        <v>6645.11</v>
      </c>
      <c r="O1483" s="9">
        <v>7600</v>
      </c>
      <c r="P1483" s="9">
        <v>7600</v>
      </c>
      <c r="Q1483" s="9">
        <v>7800</v>
      </c>
    </row>
    <row r="1484" spans="1:17" ht="12.75">
      <c r="A1484" s="3" t="s">
        <v>1776</v>
      </c>
      <c r="B1484" s="11" t="s">
        <v>1777</v>
      </c>
      <c r="C1484" s="36">
        <v>552900</v>
      </c>
      <c r="E1484" s="3" t="s">
        <v>1778</v>
      </c>
      <c r="F1484" s="19">
        <v>187334</v>
      </c>
      <c r="G1484" s="19">
        <v>197555.21</v>
      </c>
      <c r="H1484" s="19">
        <v>205066.82</v>
      </c>
      <c r="I1484" s="10">
        <v>218230.33</v>
      </c>
      <c r="J1484" s="9">
        <v>222493.22</v>
      </c>
      <c r="K1484" s="10">
        <v>233371.12</v>
      </c>
      <c r="L1484" s="9">
        <v>230447.06</v>
      </c>
      <c r="M1484" s="9">
        <v>244837.14</v>
      </c>
      <c r="N1484" s="9">
        <v>238875.16</v>
      </c>
      <c r="O1484" s="9">
        <f>240441-1873</f>
        <v>238568</v>
      </c>
      <c r="P1484" s="9">
        <v>238568</v>
      </c>
      <c r="Q1484" s="9">
        <v>246613</v>
      </c>
    </row>
    <row r="1485" spans="1:17" ht="12.75">
      <c r="A1485" s="3" t="s">
        <v>1779</v>
      </c>
      <c r="B1485" s="11" t="s">
        <v>1780</v>
      </c>
      <c r="C1485" s="36">
        <v>573000</v>
      </c>
      <c r="E1485" s="3" t="s">
        <v>1200</v>
      </c>
      <c r="F1485" s="19">
        <v>320</v>
      </c>
      <c r="G1485" s="19">
        <v>560</v>
      </c>
      <c r="H1485" s="19">
        <v>415</v>
      </c>
      <c r="I1485" s="10">
        <v>400</v>
      </c>
      <c r="J1485" s="9">
        <v>505</v>
      </c>
      <c r="K1485" s="10">
        <v>440</v>
      </c>
      <c r="L1485" s="9">
        <v>420</v>
      </c>
      <c r="M1485" s="9">
        <v>360</v>
      </c>
      <c r="N1485" s="9">
        <v>355</v>
      </c>
      <c r="O1485" s="9">
        <v>355</v>
      </c>
      <c r="P1485" s="9">
        <v>355</v>
      </c>
      <c r="Q1485" s="9">
        <v>355</v>
      </c>
    </row>
    <row r="1486" spans="5:18" ht="12.75">
      <c r="E1486" s="20" t="s">
        <v>2274</v>
      </c>
      <c r="F1486" s="21">
        <f aca="true" t="shared" si="328" ref="F1486:L1486">SUM(F1485)</f>
        <v>320</v>
      </c>
      <c r="G1486" s="21">
        <f t="shared" si="328"/>
        <v>560</v>
      </c>
      <c r="H1486" s="21">
        <f t="shared" si="328"/>
        <v>415</v>
      </c>
      <c r="I1486" s="22">
        <f t="shared" si="328"/>
        <v>400</v>
      </c>
      <c r="J1486" s="23">
        <f t="shared" si="328"/>
        <v>505</v>
      </c>
      <c r="K1486" s="23">
        <f t="shared" si="328"/>
        <v>440</v>
      </c>
      <c r="L1486" s="7">
        <f t="shared" si="328"/>
        <v>420</v>
      </c>
      <c r="M1486" s="7">
        <f aca="true" t="shared" si="329" ref="M1486:R1486">SUM(M1482:M1485)</f>
        <v>256364.28000000003</v>
      </c>
      <c r="N1486" s="7">
        <f t="shared" si="329"/>
        <v>247926.86000000002</v>
      </c>
      <c r="O1486" s="7">
        <f t="shared" si="329"/>
        <v>248023</v>
      </c>
      <c r="P1486" s="7">
        <f t="shared" si="329"/>
        <v>248023</v>
      </c>
      <c r="Q1486" s="7">
        <f t="shared" si="329"/>
        <v>256268</v>
      </c>
      <c r="R1486" s="7">
        <f t="shared" si="329"/>
        <v>0</v>
      </c>
    </row>
    <row r="1487" spans="9:10" ht="12.75">
      <c r="I1487" s="10"/>
      <c r="J1487" s="10"/>
    </row>
    <row r="1488" spans="5:18" ht="12.75">
      <c r="E1488" s="2" t="s">
        <v>1781</v>
      </c>
      <c r="F1488" s="31">
        <f aca="true" t="shared" si="330" ref="F1488:L1488">SUM(F1472:F1486)/2</f>
        <v>592221.5</v>
      </c>
      <c r="G1488" s="31">
        <f t="shared" si="330"/>
        <v>639393.21</v>
      </c>
      <c r="H1488" s="31">
        <f t="shared" si="330"/>
        <v>711078.3650000001</v>
      </c>
      <c r="I1488" s="28">
        <f t="shared" si="330"/>
        <v>732541.0499999999</v>
      </c>
      <c r="J1488" s="28">
        <f t="shared" si="330"/>
        <v>803436.5399999999</v>
      </c>
      <c r="K1488" s="28">
        <f t="shared" si="330"/>
        <v>817659.4650000001</v>
      </c>
      <c r="L1488" s="32">
        <f t="shared" si="330"/>
        <v>797715.17</v>
      </c>
      <c r="M1488" s="32">
        <f aca="true" t="shared" si="331" ref="M1488:R1488">SUM(M1472:M1486)/2</f>
        <v>955197.91</v>
      </c>
      <c r="N1488" s="32">
        <f t="shared" si="331"/>
        <v>1003459.3400000001</v>
      </c>
      <c r="O1488" s="32">
        <f t="shared" si="331"/>
        <v>999494</v>
      </c>
      <c r="P1488" s="32">
        <f t="shared" si="331"/>
        <v>999294</v>
      </c>
      <c r="Q1488" s="32">
        <f t="shared" si="331"/>
        <v>1043935</v>
      </c>
      <c r="R1488" s="32">
        <f t="shared" si="331"/>
        <v>0</v>
      </c>
    </row>
    <row r="1489" spans="5:9" ht="12.75">
      <c r="E1489" s="38"/>
      <c r="I1489" s="10"/>
    </row>
    <row r="1490" spans="1:10" ht="12.75">
      <c r="A1490" s="3" t="s">
        <v>2180</v>
      </c>
      <c r="C1490" s="196">
        <v>16131</v>
      </c>
      <c r="D1490" s="196"/>
      <c r="E1490" s="163" t="s">
        <v>1782</v>
      </c>
      <c r="I1490" s="10"/>
      <c r="J1490" s="10"/>
    </row>
    <row r="1491" spans="1:17" ht="12.75">
      <c r="A1491" s="3" t="s">
        <v>1783</v>
      </c>
      <c r="B1491" s="11" t="s">
        <v>1784</v>
      </c>
      <c r="C1491" s="36">
        <v>511000</v>
      </c>
      <c r="E1491" s="3" t="s">
        <v>1569</v>
      </c>
      <c r="F1491" s="19">
        <v>94916</v>
      </c>
      <c r="G1491" s="19">
        <v>97434.42</v>
      </c>
      <c r="H1491" s="19">
        <v>100818.97</v>
      </c>
      <c r="I1491" s="10">
        <v>100729.19</v>
      </c>
      <c r="J1491" s="10">
        <v>113807.26</v>
      </c>
      <c r="K1491" s="10">
        <v>114902.45</v>
      </c>
      <c r="L1491" s="9">
        <v>101447.3</v>
      </c>
      <c r="M1491" s="9">
        <v>107609.27</v>
      </c>
      <c r="N1491" s="9">
        <v>115067.26</v>
      </c>
      <c r="O1491" s="9">
        <v>117682</v>
      </c>
      <c r="P1491" s="9">
        <v>117682</v>
      </c>
      <c r="Q1491" s="9">
        <v>115149</v>
      </c>
    </row>
    <row r="1492" spans="1:17" ht="12.75">
      <c r="A1492" s="3" t="s">
        <v>1785</v>
      </c>
      <c r="B1492" s="11" t="s">
        <v>1786</v>
      </c>
      <c r="C1492" s="36">
        <v>511100</v>
      </c>
      <c r="E1492" s="3" t="s">
        <v>1572</v>
      </c>
      <c r="F1492" s="19">
        <v>18735</v>
      </c>
      <c r="G1492" s="19">
        <v>19230.98</v>
      </c>
      <c r="H1492" s="19">
        <v>19254.21</v>
      </c>
      <c r="I1492" s="10">
        <v>19575.3</v>
      </c>
      <c r="J1492" s="9">
        <v>20352.67</v>
      </c>
      <c r="K1492" s="10">
        <v>21878.8</v>
      </c>
      <c r="L1492" s="9">
        <v>25132.25</v>
      </c>
      <c r="M1492" s="9">
        <v>22709.15</v>
      </c>
      <c r="N1492" s="9">
        <v>23439.9</v>
      </c>
      <c r="O1492" s="9">
        <v>20891</v>
      </c>
      <c r="P1492" s="9">
        <v>20891</v>
      </c>
      <c r="Q1492" s="9">
        <v>23690</v>
      </c>
    </row>
    <row r="1493" spans="1:17" ht="12.75">
      <c r="A1493" s="3" t="s">
        <v>1787</v>
      </c>
      <c r="B1493" s="11" t="s">
        <v>1788</v>
      </c>
      <c r="C1493" s="36">
        <v>514800</v>
      </c>
      <c r="E1493" s="3" t="s">
        <v>2288</v>
      </c>
      <c r="F1493" s="19">
        <v>1100</v>
      </c>
      <c r="G1493" s="19">
        <v>1125</v>
      </c>
      <c r="H1493" s="19">
        <v>1125</v>
      </c>
      <c r="I1493" s="10">
        <v>1125</v>
      </c>
      <c r="J1493" s="9">
        <v>1175</v>
      </c>
      <c r="K1493" s="10">
        <v>1175</v>
      </c>
      <c r="L1493" s="9">
        <v>900</v>
      </c>
      <c r="M1493" s="9">
        <v>1100</v>
      </c>
      <c r="N1493" s="9">
        <v>1200</v>
      </c>
      <c r="O1493" s="9">
        <v>1150</v>
      </c>
      <c r="P1493" s="9">
        <v>675</v>
      </c>
      <c r="Q1493" s="9">
        <v>625</v>
      </c>
    </row>
    <row r="1494" spans="1:17" ht="12.75">
      <c r="A1494" s="3" t="s">
        <v>1793</v>
      </c>
      <c r="B1494" s="11" t="s">
        <v>1794</v>
      </c>
      <c r="C1494" s="36">
        <v>517000</v>
      </c>
      <c r="E1494" s="3" t="s">
        <v>2222</v>
      </c>
      <c r="F1494" s="19">
        <v>10682</v>
      </c>
      <c r="G1494" s="19">
        <v>10462</v>
      </c>
      <c r="H1494" s="19">
        <v>11986</v>
      </c>
      <c r="I1494" s="10">
        <v>11441</v>
      </c>
      <c r="J1494" s="9">
        <v>18404</v>
      </c>
      <c r="K1494" s="10">
        <v>23311</v>
      </c>
      <c r="L1494" s="9">
        <v>21735</v>
      </c>
      <c r="M1494" s="9">
        <v>15600.39</v>
      </c>
      <c r="N1494" s="9">
        <v>18439</v>
      </c>
      <c r="O1494" s="9">
        <v>35507</v>
      </c>
      <c r="P1494" s="9">
        <v>35507</v>
      </c>
      <c r="Q1494" s="9">
        <v>22278</v>
      </c>
    </row>
    <row r="1495" spans="1:17" ht="12.75">
      <c r="A1495" s="3" t="s">
        <v>1789</v>
      </c>
      <c r="B1495" s="11" t="s">
        <v>1790</v>
      </c>
      <c r="C1495" s="36">
        <v>517200</v>
      </c>
      <c r="E1495" s="3" t="s">
        <v>2291</v>
      </c>
      <c r="F1495" s="19">
        <v>72</v>
      </c>
      <c r="G1495" s="19">
        <v>54</v>
      </c>
      <c r="H1495" s="19">
        <v>54</v>
      </c>
      <c r="I1495" s="10">
        <v>54</v>
      </c>
      <c r="J1495" s="9">
        <v>54</v>
      </c>
      <c r="K1495" s="10">
        <v>54</v>
      </c>
      <c r="L1495" s="9">
        <v>54</v>
      </c>
      <c r="M1495" s="9">
        <v>300</v>
      </c>
      <c r="N1495" s="9">
        <v>231</v>
      </c>
      <c r="O1495" s="9">
        <v>300</v>
      </c>
      <c r="P1495" s="9">
        <v>300</v>
      </c>
      <c r="Q1495" s="9">
        <v>315</v>
      </c>
    </row>
    <row r="1496" spans="1:17" ht="12.75">
      <c r="A1496" s="3" t="s">
        <v>1795</v>
      </c>
      <c r="B1496" s="11" t="s">
        <v>1796</v>
      </c>
      <c r="C1496" s="36">
        <v>517800</v>
      </c>
      <c r="E1496" s="3" t="s">
        <v>2298</v>
      </c>
      <c r="F1496" s="19">
        <v>283</v>
      </c>
      <c r="G1496" s="19">
        <v>282</v>
      </c>
      <c r="H1496" s="19">
        <v>303</v>
      </c>
      <c r="I1496" s="10">
        <v>310</v>
      </c>
      <c r="J1496" s="9">
        <v>280</v>
      </c>
      <c r="K1496" s="10">
        <v>360</v>
      </c>
      <c r="L1496" s="9">
        <v>360</v>
      </c>
      <c r="M1496" s="9">
        <v>1039</v>
      </c>
      <c r="N1496" s="9">
        <v>1039</v>
      </c>
      <c r="O1496" s="9">
        <v>1200</v>
      </c>
      <c r="P1496" s="9">
        <v>1200</v>
      </c>
      <c r="Q1496" s="9">
        <v>1473</v>
      </c>
    </row>
    <row r="1497" spans="1:15" ht="12.75" hidden="1">
      <c r="A1497" s="3" t="s">
        <v>1791</v>
      </c>
      <c r="B1497" s="11" t="s">
        <v>1792</v>
      </c>
      <c r="E1497" s="3" t="s">
        <v>2219</v>
      </c>
      <c r="F1497" s="19">
        <v>24</v>
      </c>
      <c r="G1497" s="19">
        <v>24</v>
      </c>
      <c r="H1497" s="19">
        <v>24</v>
      </c>
      <c r="I1497" s="10">
        <v>0</v>
      </c>
      <c r="J1497" s="9">
        <v>0</v>
      </c>
      <c r="K1497" s="10">
        <v>0</v>
      </c>
      <c r="L1497" s="9">
        <v>0</v>
      </c>
      <c r="M1497" s="9">
        <v>0</v>
      </c>
      <c r="N1497" s="9">
        <v>0</v>
      </c>
      <c r="O1497" s="9">
        <v>0</v>
      </c>
    </row>
    <row r="1498" spans="5:18" ht="12.75">
      <c r="E1498" s="20" t="s">
        <v>2187</v>
      </c>
      <c r="F1498" s="21">
        <f aca="true" t="shared" si="332" ref="F1498:L1498">SUM(F1491:F1497)</f>
        <v>125812</v>
      </c>
      <c r="G1498" s="21">
        <f t="shared" si="332"/>
        <v>128612.4</v>
      </c>
      <c r="H1498" s="21">
        <f t="shared" si="332"/>
        <v>133565.18</v>
      </c>
      <c r="I1498" s="22">
        <f t="shared" si="332"/>
        <v>133234.49</v>
      </c>
      <c r="J1498" s="23">
        <f t="shared" si="332"/>
        <v>154072.93</v>
      </c>
      <c r="K1498" s="23">
        <f t="shared" si="332"/>
        <v>161681.25</v>
      </c>
      <c r="L1498" s="7">
        <f t="shared" si="332"/>
        <v>149628.55</v>
      </c>
      <c r="M1498" s="7">
        <f aca="true" t="shared" si="333" ref="M1498:R1498">SUM(M1491:M1497)</f>
        <v>148357.81</v>
      </c>
      <c r="N1498" s="7">
        <f t="shared" si="333"/>
        <v>159416.16</v>
      </c>
      <c r="O1498" s="7">
        <f t="shared" si="333"/>
        <v>176730</v>
      </c>
      <c r="P1498" s="7">
        <f t="shared" si="333"/>
        <v>176255</v>
      </c>
      <c r="Q1498" s="7">
        <f t="shared" si="333"/>
        <v>163530</v>
      </c>
      <c r="R1498" s="7">
        <f t="shared" si="333"/>
        <v>0</v>
      </c>
    </row>
    <row r="1499" spans="3:9" ht="12.75">
      <c r="C1499" s="196">
        <v>16132</v>
      </c>
      <c r="D1499" s="196"/>
      <c r="I1499" s="10"/>
    </row>
    <row r="1500" spans="1:17" ht="12.75">
      <c r="A1500" s="3" t="s">
        <v>1797</v>
      </c>
      <c r="B1500" s="11" t="s">
        <v>1798</v>
      </c>
      <c r="C1500" s="36">
        <v>530600</v>
      </c>
      <c r="E1500" s="3" t="s">
        <v>2842</v>
      </c>
      <c r="F1500" s="19">
        <v>44240</v>
      </c>
      <c r="G1500" s="19">
        <v>41538.47</v>
      </c>
      <c r="H1500" s="19">
        <v>49933.36</v>
      </c>
      <c r="I1500" s="10">
        <v>50490.58</v>
      </c>
      <c r="J1500" s="9">
        <v>49572.74</v>
      </c>
      <c r="K1500" s="10">
        <v>47975.84</v>
      </c>
      <c r="L1500" s="9">
        <v>48455.41</v>
      </c>
      <c r="M1500" s="9">
        <v>53180.47</v>
      </c>
      <c r="N1500" s="9">
        <v>56055.9</v>
      </c>
      <c r="O1500" s="9">
        <f>56000-2000</f>
        <v>54000</v>
      </c>
      <c r="P1500" s="9">
        <v>54000</v>
      </c>
      <c r="Q1500" s="9">
        <v>55000</v>
      </c>
    </row>
    <row r="1501" spans="1:18" ht="12.75" hidden="1">
      <c r="A1501" s="3" t="s">
        <v>1799</v>
      </c>
      <c r="B1501" s="11" t="s">
        <v>1800</v>
      </c>
      <c r="E1501" s="3" t="s">
        <v>2330</v>
      </c>
      <c r="F1501" s="19">
        <v>1746</v>
      </c>
      <c r="G1501" s="19">
        <v>2783.34</v>
      </c>
      <c r="H1501" s="19">
        <v>2769.63</v>
      </c>
      <c r="I1501" s="10">
        <v>2589.98</v>
      </c>
      <c r="J1501" s="9">
        <v>3191.85</v>
      </c>
      <c r="K1501" s="10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</row>
    <row r="1502" spans="1:17" ht="12.75">
      <c r="A1502" s="3" t="s">
        <v>1801</v>
      </c>
      <c r="B1502" s="11" t="s">
        <v>1802</v>
      </c>
      <c r="C1502" s="36">
        <v>542200</v>
      </c>
      <c r="E1502" s="3" t="s">
        <v>1803</v>
      </c>
      <c r="F1502" s="19">
        <v>11362</v>
      </c>
      <c r="G1502" s="19">
        <v>10034.14</v>
      </c>
      <c r="H1502" s="19">
        <v>11503.98</v>
      </c>
      <c r="I1502" s="10">
        <v>11402.77</v>
      </c>
      <c r="J1502" s="9">
        <v>11525.67</v>
      </c>
      <c r="K1502" s="10">
        <v>10879.19</v>
      </c>
      <c r="L1502" s="9">
        <v>11214.59</v>
      </c>
      <c r="M1502" s="9">
        <v>11171.39</v>
      </c>
      <c r="N1502" s="9">
        <v>11052</v>
      </c>
      <c r="O1502" s="9">
        <v>11000</v>
      </c>
      <c r="P1502" s="9">
        <v>11000</v>
      </c>
      <c r="Q1502" s="9">
        <v>11270</v>
      </c>
    </row>
    <row r="1503" spans="1:17" ht="12.75">
      <c r="A1503" s="3" t="s">
        <v>1804</v>
      </c>
      <c r="B1503" s="11" t="s">
        <v>1805</v>
      </c>
      <c r="C1503" s="36">
        <v>573000</v>
      </c>
      <c r="E1503" s="3" t="s">
        <v>1200</v>
      </c>
      <c r="F1503" s="19">
        <v>0</v>
      </c>
      <c r="G1503" s="19">
        <v>65</v>
      </c>
      <c r="H1503" s="19">
        <v>0</v>
      </c>
      <c r="I1503" s="10">
        <v>70</v>
      </c>
      <c r="J1503" s="9">
        <v>70</v>
      </c>
      <c r="K1503" s="10">
        <v>70</v>
      </c>
      <c r="L1503" s="9">
        <v>70</v>
      </c>
      <c r="M1503" s="9">
        <v>90</v>
      </c>
      <c r="N1503" s="9">
        <v>70</v>
      </c>
      <c r="O1503" s="9">
        <v>70</v>
      </c>
      <c r="P1503" s="9">
        <v>70</v>
      </c>
      <c r="Q1503" s="9">
        <v>70</v>
      </c>
    </row>
    <row r="1504" spans="5:18" ht="12.75">
      <c r="E1504" s="20" t="s">
        <v>2274</v>
      </c>
      <c r="F1504" s="25">
        <f aca="true" t="shared" si="334" ref="F1504:L1504">SUM(F1503)</f>
        <v>0</v>
      </c>
      <c r="G1504" s="25">
        <f t="shared" si="334"/>
        <v>65</v>
      </c>
      <c r="H1504" s="25">
        <f t="shared" si="334"/>
        <v>0</v>
      </c>
      <c r="I1504" s="23">
        <f t="shared" si="334"/>
        <v>70</v>
      </c>
      <c r="J1504" s="23">
        <f t="shared" si="334"/>
        <v>70</v>
      </c>
      <c r="K1504" s="23">
        <f t="shared" si="334"/>
        <v>70</v>
      </c>
      <c r="L1504" s="7">
        <f t="shared" si="334"/>
        <v>70</v>
      </c>
      <c r="M1504" s="7">
        <f aca="true" t="shared" si="335" ref="M1504:R1504">SUM(M1500:M1503)</f>
        <v>64441.86</v>
      </c>
      <c r="N1504" s="7">
        <f t="shared" si="335"/>
        <v>67177.9</v>
      </c>
      <c r="O1504" s="7">
        <f t="shared" si="335"/>
        <v>65070</v>
      </c>
      <c r="P1504" s="7">
        <f t="shared" si="335"/>
        <v>65070</v>
      </c>
      <c r="Q1504" s="7">
        <f t="shared" si="335"/>
        <v>66340</v>
      </c>
      <c r="R1504" s="7">
        <f t="shared" si="335"/>
        <v>0</v>
      </c>
    </row>
    <row r="1505" spans="3:9" ht="12.75">
      <c r="C1505" s="196">
        <v>16133</v>
      </c>
      <c r="D1505" s="196"/>
      <c r="I1505" s="10"/>
    </row>
    <row r="1506" spans="1:18" ht="12.75">
      <c r="A1506" s="3" t="s">
        <v>1808</v>
      </c>
      <c r="B1506" s="11">
        <v>6850</v>
      </c>
      <c r="C1506" s="36">
        <v>587100</v>
      </c>
      <c r="E1506" s="3" t="s">
        <v>1947</v>
      </c>
      <c r="F1506" s="19">
        <v>0</v>
      </c>
      <c r="G1506" s="19">
        <v>20197.17</v>
      </c>
      <c r="H1506" s="19">
        <v>1647</v>
      </c>
      <c r="I1506" s="10">
        <v>0</v>
      </c>
      <c r="J1506" s="9">
        <v>0</v>
      </c>
      <c r="K1506" s="10">
        <v>0</v>
      </c>
      <c r="L1506" s="9">
        <v>13.68</v>
      </c>
      <c r="M1506" s="9">
        <v>0</v>
      </c>
      <c r="N1506" s="9">
        <v>0</v>
      </c>
      <c r="O1506" s="9">
        <v>0</v>
      </c>
      <c r="P1506" s="9">
        <v>12000</v>
      </c>
      <c r="Q1506" s="9">
        <v>12000</v>
      </c>
      <c r="R1506" s="9">
        <v>0</v>
      </c>
    </row>
    <row r="1507" spans="1:18" ht="12.75">
      <c r="A1507" s="3" t="s">
        <v>2180</v>
      </c>
      <c r="E1507" s="20" t="s">
        <v>2277</v>
      </c>
      <c r="F1507" s="25">
        <f aca="true" t="shared" si="336" ref="F1507:L1507">SUM(F1506)</f>
        <v>0</v>
      </c>
      <c r="G1507" s="25">
        <f t="shared" si="336"/>
        <v>20197.17</v>
      </c>
      <c r="H1507" s="25">
        <f t="shared" si="336"/>
        <v>1647</v>
      </c>
      <c r="I1507" s="23">
        <f t="shared" si="336"/>
        <v>0</v>
      </c>
      <c r="J1507" s="23">
        <f t="shared" si="336"/>
        <v>0</v>
      </c>
      <c r="K1507" s="23">
        <f t="shared" si="336"/>
        <v>0</v>
      </c>
      <c r="L1507" s="7">
        <f t="shared" si="336"/>
        <v>13.68</v>
      </c>
      <c r="M1507" s="7">
        <f aca="true" t="shared" si="337" ref="M1507:R1507">SUM(M1506)</f>
        <v>0</v>
      </c>
      <c r="N1507" s="7">
        <f t="shared" si="337"/>
        <v>0</v>
      </c>
      <c r="O1507" s="7">
        <f t="shared" si="337"/>
        <v>0</v>
      </c>
      <c r="P1507" s="7">
        <f t="shared" si="337"/>
        <v>12000</v>
      </c>
      <c r="Q1507" s="7">
        <f t="shared" si="337"/>
        <v>12000</v>
      </c>
      <c r="R1507" s="7">
        <f t="shared" si="337"/>
        <v>0</v>
      </c>
    </row>
    <row r="1508" ht="12.75">
      <c r="I1508" s="10"/>
    </row>
    <row r="1509" spans="1:18" ht="12.75">
      <c r="A1509" s="3" t="s">
        <v>2180</v>
      </c>
      <c r="E1509" s="30" t="s">
        <v>1809</v>
      </c>
      <c r="F1509" s="31">
        <f aca="true" t="shared" si="338" ref="F1509:L1509">SUM(F1491:F1507)/2</f>
        <v>154486</v>
      </c>
      <c r="G1509" s="31">
        <f t="shared" si="338"/>
        <v>176052.545</v>
      </c>
      <c r="H1509" s="31">
        <f t="shared" si="338"/>
        <v>167315.66499999998</v>
      </c>
      <c r="I1509" s="28">
        <f t="shared" si="338"/>
        <v>165546.155</v>
      </c>
      <c r="J1509" s="28">
        <f t="shared" si="338"/>
        <v>186288.05999999997</v>
      </c>
      <c r="K1509" s="28">
        <f t="shared" si="338"/>
        <v>191178.76499999998</v>
      </c>
      <c r="L1509" s="32">
        <f t="shared" si="338"/>
        <v>179547.23</v>
      </c>
      <c r="M1509" s="32">
        <f aca="true" t="shared" si="339" ref="M1509:R1509">SUM(M1491:M1507)/2</f>
        <v>212799.66999999998</v>
      </c>
      <c r="N1509" s="32">
        <f t="shared" si="339"/>
        <v>226594.06</v>
      </c>
      <c r="O1509" s="32">
        <f t="shared" si="339"/>
        <v>241800</v>
      </c>
      <c r="P1509" s="32">
        <f t="shared" si="339"/>
        <v>253325</v>
      </c>
      <c r="Q1509" s="32">
        <f t="shared" si="339"/>
        <v>241870</v>
      </c>
      <c r="R1509" s="32">
        <f t="shared" si="339"/>
        <v>0</v>
      </c>
    </row>
    <row r="1510" spans="5:8" ht="12.75">
      <c r="E1510" s="38"/>
      <c r="F1510" s="37"/>
      <c r="G1510" s="37"/>
      <c r="H1510" s="37"/>
    </row>
    <row r="1511" spans="1:18" ht="12.75">
      <c r="A1511" s="3" t="s">
        <v>2931</v>
      </c>
      <c r="E1511" s="4" t="s">
        <v>1810</v>
      </c>
      <c r="F1511" s="5">
        <f aca="true" t="shared" si="340" ref="F1511:L1511">SUM(F1438:F1509)/3</f>
        <v>952883.5</v>
      </c>
      <c r="G1511" s="5">
        <f t="shared" si="340"/>
        <v>1032509.9099999998</v>
      </c>
      <c r="H1511" s="5">
        <f t="shared" si="340"/>
        <v>1105728.6300000001</v>
      </c>
      <c r="I1511" s="6">
        <f t="shared" si="340"/>
        <v>1140746.6049999997</v>
      </c>
      <c r="J1511" s="23">
        <f t="shared" si="340"/>
        <v>1253169.435</v>
      </c>
      <c r="K1511" s="23">
        <f t="shared" si="340"/>
        <v>1283572.755</v>
      </c>
      <c r="L1511" s="7">
        <f t="shared" si="340"/>
        <v>1243504.1849999998</v>
      </c>
      <c r="M1511" s="7">
        <f aca="true" t="shared" si="341" ref="M1511:R1511">SUM(M1438:M1509)/3</f>
        <v>1508867.66</v>
      </c>
      <c r="N1511" s="7">
        <f t="shared" si="341"/>
        <v>1581691.9300000004</v>
      </c>
      <c r="O1511" s="7">
        <f t="shared" si="341"/>
        <v>1590452</v>
      </c>
      <c r="P1511" s="7">
        <f t="shared" si="341"/>
        <v>1602452</v>
      </c>
      <c r="Q1511" s="7">
        <f t="shared" si="341"/>
        <v>1664602</v>
      </c>
      <c r="R1511" s="7">
        <f t="shared" si="341"/>
        <v>0</v>
      </c>
    </row>
    <row r="1512" spans="5:10" ht="12.75">
      <c r="E1512" s="38"/>
      <c r="J1512" s="10"/>
    </row>
    <row r="1513" spans="1:5" ht="12.75">
      <c r="A1513" s="3" t="s">
        <v>2180</v>
      </c>
      <c r="C1513" s="196">
        <v>16311</v>
      </c>
      <c r="D1513" s="196"/>
      <c r="E1513" s="163" t="s">
        <v>1811</v>
      </c>
    </row>
    <row r="1514" spans="1:17" ht="12.75">
      <c r="A1514" s="3" t="s">
        <v>1812</v>
      </c>
      <c r="B1514" s="11" t="s">
        <v>1813</v>
      </c>
      <c r="C1514" s="36">
        <v>511000</v>
      </c>
      <c r="E1514" s="3" t="s">
        <v>2363</v>
      </c>
      <c r="F1514" s="19">
        <v>84533</v>
      </c>
      <c r="G1514" s="19">
        <v>88218.15</v>
      </c>
      <c r="H1514" s="19">
        <v>85597.15</v>
      </c>
      <c r="I1514" s="10">
        <v>93766.32</v>
      </c>
      <c r="J1514" s="9">
        <v>101146.1</v>
      </c>
      <c r="K1514" s="10">
        <v>103913.25</v>
      </c>
      <c r="L1514" s="9">
        <v>103883.32</v>
      </c>
      <c r="M1514" s="9">
        <v>106363.51</v>
      </c>
      <c r="N1514" s="9">
        <v>110900.77</v>
      </c>
      <c r="O1514" s="9">
        <v>111874</v>
      </c>
      <c r="P1514" s="9">
        <v>111874</v>
      </c>
      <c r="Q1514" s="9">
        <v>112303</v>
      </c>
    </row>
    <row r="1515" spans="1:17" ht="12.75">
      <c r="A1515" s="3" t="s">
        <v>1814</v>
      </c>
      <c r="B1515" s="11" t="s">
        <v>1815</v>
      </c>
      <c r="C1515" s="36">
        <v>514800</v>
      </c>
      <c r="E1515" s="3" t="s">
        <v>2288</v>
      </c>
      <c r="F1515" s="19">
        <v>0</v>
      </c>
      <c r="G1515" s="19">
        <v>0</v>
      </c>
      <c r="H1515" s="19">
        <v>450</v>
      </c>
      <c r="I1515" s="10">
        <v>450</v>
      </c>
      <c r="J1515" s="9">
        <v>500</v>
      </c>
      <c r="K1515" s="10">
        <v>500</v>
      </c>
      <c r="L1515" s="9">
        <v>500</v>
      </c>
      <c r="M1515" s="9">
        <v>550</v>
      </c>
      <c r="N1515" s="9">
        <v>750</v>
      </c>
      <c r="O1515" s="9">
        <v>700</v>
      </c>
      <c r="P1515" s="9">
        <v>700</v>
      </c>
      <c r="Q1515" s="9">
        <v>700</v>
      </c>
    </row>
    <row r="1516" spans="1:17" ht="12.75">
      <c r="A1516" s="3" t="s">
        <v>1819</v>
      </c>
      <c r="B1516" s="11" t="s">
        <v>1820</v>
      </c>
      <c r="C1516" s="36">
        <v>517000</v>
      </c>
      <c r="E1516" s="3" t="s">
        <v>2222</v>
      </c>
      <c r="F1516" s="19">
        <v>15750</v>
      </c>
      <c r="G1516" s="19">
        <v>11064</v>
      </c>
      <c r="H1516" s="19">
        <f>18201-6215</f>
        <v>11986</v>
      </c>
      <c r="I1516" s="10">
        <v>9514</v>
      </c>
      <c r="J1516" s="9">
        <v>11685</v>
      </c>
      <c r="K1516" s="10">
        <v>8316</v>
      </c>
      <c r="L1516" s="9">
        <v>19437</v>
      </c>
      <c r="M1516" s="9">
        <v>19069.8</v>
      </c>
      <c r="N1516" s="9">
        <v>21735</v>
      </c>
      <c r="O1516" s="9">
        <f>30854-12000</f>
        <v>18854</v>
      </c>
      <c r="P1516" s="9">
        <v>18854</v>
      </c>
      <c r="Q1516" s="9">
        <v>17311</v>
      </c>
    </row>
    <row r="1517" spans="1:12" ht="12.75" hidden="1">
      <c r="A1517" s="3" t="s">
        <v>1817</v>
      </c>
      <c r="B1517" s="11" t="s">
        <v>1818</v>
      </c>
      <c r="E1517" s="3" t="s">
        <v>2219</v>
      </c>
      <c r="F1517" s="19">
        <v>72</v>
      </c>
      <c r="G1517" s="19">
        <v>72</v>
      </c>
      <c r="H1517" s="19">
        <v>72</v>
      </c>
      <c r="I1517" s="10">
        <v>0</v>
      </c>
      <c r="J1517" s="9">
        <v>0</v>
      </c>
      <c r="K1517" s="10">
        <v>0</v>
      </c>
      <c r="L1517" s="9">
        <v>0</v>
      </c>
    </row>
    <row r="1518" spans="1:17" ht="12.75">
      <c r="A1518" s="3" t="s">
        <v>1816</v>
      </c>
      <c r="B1518" s="36">
        <v>6868</v>
      </c>
      <c r="C1518" s="36">
        <v>517200</v>
      </c>
      <c r="E1518" s="3" t="s">
        <v>2291</v>
      </c>
      <c r="F1518" s="19">
        <v>4126</v>
      </c>
      <c r="G1518" s="19">
        <v>3095</v>
      </c>
      <c r="H1518" s="19">
        <v>3095</v>
      </c>
      <c r="I1518" s="10">
        <v>3095</v>
      </c>
      <c r="J1518" s="9">
        <v>3095</v>
      </c>
      <c r="K1518" s="10">
        <v>3095</v>
      </c>
      <c r="L1518" s="9">
        <v>3095</v>
      </c>
      <c r="M1518" s="9">
        <v>486</v>
      </c>
      <c r="N1518" s="9">
        <v>465</v>
      </c>
      <c r="O1518" s="9">
        <v>442</v>
      </c>
      <c r="P1518" s="9">
        <v>442</v>
      </c>
      <c r="Q1518" s="9">
        <v>464</v>
      </c>
    </row>
    <row r="1519" spans="1:18" ht="12.75" hidden="1">
      <c r="A1519" s="3" t="s">
        <v>1821</v>
      </c>
      <c r="B1519" s="11" t="s">
        <v>1822</v>
      </c>
      <c r="E1519" s="3" t="s">
        <v>2298</v>
      </c>
      <c r="F1519" s="19">
        <v>321</v>
      </c>
      <c r="G1519" s="19">
        <v>394</v>
      </c>
      <c r="H1519" s="19">
        <v>0</v>
      </c>
      <c r="I1519" s="10">
        <v>0</v>
      </c>
      <c r="J1519" s="9">
        <v>0</v>
      </c>
      <c r="K1519" s="10">
        <v>0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</row>
    <row r="1520" spans="5:18" ht="12.75">
      <c r="E1520" s="20" t="s">
        <v>2187</v>
      </c>
      <c r="F1520" s="21">
        <f aca="true" t="shared" si="342" ref="F1520:L1520">SUM(F1514:F1519)</f>
        <v>104802</v>
      </c>
      <c r="G1520" s="21">
        <f t="shared" si="342"/>
        <v>102843.15</v>
      </c>
      <c r="H1520" s="21">
        <f t="shared" si="342"/>
        <v>101200.15</v>
      </c>
      <c r="I1520" s="22">
        <f t="shared" si="342"/>
        <v>106825.32</v>
      </c>
      <c r="J1520" s="23">
        <f t="shared" si="342"/>
        <v>116426.1</v>
      </c>
      <c r="K1520" s="23">
        <f t="shared" si="342"/>
        <v>115824.25</v>
      </c>
      <c r="L1520" s="7">
        <f t="shared" si="342"/>
        <v>126915.32</v>
      </c>
      <c r="M1520" s="7">
        <f aca="true" t="shared" si="343" ref="M1520:R1520">SUM(M1514:M1519)</f>
        <v>126469.31</v>
      </c>
      <c r="N1520" s="7">
        <f t="shared" si="343"/>
        <v>133850.77000000002</v>
      </c>
      <c r="O1520" s="7">
        <f t="shared" si="343"/>
        <v>131870</v>
      </c>
      <c r="P1520" s="7">
        <f t="shared" si="343"/>
        <v>131870</v>
      </c>
      <c r="Q1520" s="7">
        <f t="shared" si="343"/>
        <v>130778</v>
      </c>
      <c r="R1520" s="7">
        <f t="shared" si="343"/>
        <v>0</v>
      </c>
    </row>
    <row r="1521" spans="3:9" ht="12.75">
      <c r="C1521" s="196">
        <v>16312</v>
      </c>
      <c r="D1521" s="196"/>
      <c r="I1521" s="10"/>
    </row>
    <row r="1522" spans="1:14" ht="12.75" hidden="1">
      <c r="A1522" s="3" t="s">
        <v>1823</v>
      </c>
      <c r="B1522" s="11" t="s">
        <v>1824</v>
      </c>
      <c r="E1522" s="3" t="s">
        <v>2787</v>
      </c>
      <c r="F1522" s="19">
        <v>65</v>
      </c>
      <c r="G1522" s="19">
        <v>150</v>
      </c>
      <c r="H1522" s="19">
        <v>0</v>
      </c>
      <c r="I1522" s="10">
        <v>0</v>
      </c>
      <c r="J1522" s="10">
        <v>110.08</v>
      </c>
      <c r="K1522" s="10">
        <v>2590</v>
      </c>
      <c r="L1522" s="9">
        <v>0</v>
      </c>
      <c r="N1522" s="9">
        <v>0</v>
      </c>
    </row>
    <row r="1523" spans="1:17" ht="12.75">
      <c r="A1523" s="3" t="s">
        <v>1825</v>
      </c>
      <c r="B1523" s="11" t="s">
        <v>1826</v>
      </c>
      <c r="C1523" s="36">
        <v>542100</v>
      </c>
      <c r="E1523" s="3" t="s">
        <v>2335</v>
      </c>
      <c r="F1523" s="19">
        <v>2713</v>
      </c>
      <c r="G1523" s="19">
        <v>1520.63</v>
      </c>
      <c r="H1523" s="19">
        <v>2721.93</v>
      </c>
      <c r="I1523" s="10">
        <v>2178.45</v>
      </c>
      <c r="J1523" s="9">
        <v>1678.86</v>
      </c>
      <c r="K1523" s="10">
        <v>1368.58</v>
      </c>
      <c r="L1523" s="9">
        <v>1273.16</v>
      </c>
      <c r="M1523" s="9">
        <v>1396.11</v>
      </c>
      <c r="N1523" s="9">
        <v>1612.31</v>
      </c>
      <c r="O1523" s="9">
        <v>2000</v>
      </c>
      <c r="P1523" s="9">
        <v>1900</v>
      </c>
      <c r="Q1523" s="9">
        <v>2000</v>
      </c>
    </row>
    <row r="1524" spans="2:17" ht="12.75">
      <c r="B1524" s="40">
        <v>6871.3</v>
      </c>
      <c r="C1524" s="36">
        <v>558900</v>
      </c>
      <c r="E1524" s="3" t="s">
        <v>1336</v>
      </c>
      <c r="I1524" s="10"/>
      <c r="J1524" s="10"/>
      <c r="K1524" s="10"/>
      <c r="L1524" s="9">
        <v>1830.47</v>
      </c>
      <c r="M1524" s="9">
        <v>4046.13</v>
      </c>
      <c r="N1524" s="9">
        <v>6390.09</v>
      </c>
      <c r="O1524" s="9">
        <v>8000</v>
      </c>
      <c r="P1524" s="9">
        <v>7800</v>
      </c>
      <c r="Q1524" s="9">
        <v>8000</v>
      </c>
    </row>
    <row r="1525" spans="2:17" ht="12.75">
      <c r="B1525" s="40">
        <v>6871.6</v>
      </c>
      <c r="C1525" s="36">
        <v>558900</v>
      </c>
      <c r="E1525" s="3" t="s">
        <v>1337</v>
      </c>
      <c r="I1525" s="10"/>
      <c r="J1525" s="10"/>
      <c r="K1525" s="10"/>
      <c r="M1525" s="9">
        <v>625</v>
      </c>
      <c r="N1525" s="9">
        <v>1500</v>
      </c>
      <c r="O1525" s="9">
        <v>1500</v>
      </c>
      <c r="P1525" s="9">
        <v>2500</v>
      </c>
      <c r="Q1525" s="9">
        <v>2500</v>
      </c>
    </row>
    <row r="1526" spans="1:12" ht="12.75" hidden="1">
      <c r="A1526" s="3" t="s">
        <v>1827</v>
      </c>
      <c r="B1526" s="11" t="s">
        <v>1828</v>
      </c>
      <c r="E1526" s="3" t="s">
        <v>842</v>
      </c>
      <c r="F1526" s="19">
        <v>5</v>
      </c>
      <c r="G1526" s="19">
        <v>0</v>
      </c>
      <c r="H1526" s="19">
        <v>0</v>
      </c>
      <c r="I1526" s="10">
        <v>0</v>
      </c>
      <c r="J1526" s="9">
        <v>0</v>
      </c>
      <c r="K1526" s="10">
        <v>0</v>
      </c>
      <c r="L1526" s="9">
        <v>0</v>
      </c>
    </row>
    <row r="1527" spans="1:12" ht="12.75" hidden="1">
      <c r="A1527" s="3" t="s">
        <v>1829</v>
      </c>
      <c r="B1527" s="11" t="s">
        <v>1830</v>
      </c>
      <c r="E1527" s="3" t="s">
        <v>1831</v>
      </c>
      <c r="F1527" s="19">
        <v>66</v>
      </c>
      <c r="G1527" s="19">
        <v>0</v>
      </c>
      <c r="H1527" s="19">
        <v>0</v>
      </c>
      <c r="I1527" s="10">
        <v>0</v>
      </c>
      <c r="J1527" s="10">
        <v>0</v>
      </c>
      <c r="K1527" s="10">
        <v>0</v>
      </c>
      <c r="L1527" s="9">
        <v>0</v>
      </c>
    </row>
    <row r="1528" spans="1:18" ht="12.75" hidden="1">
      <c r="A1528" s="3" t="s">
        <v>1832</v>
      </c>
      <c r="B1528" s="11" t="s">
        <v>1833</v>
      </c>
      <c r="E1528" s="3" t="s">
        <v>2350</v>
      </c>
      <c r="F1528" s="19">
        <v>0</v>
      </c>
      <c r="G1528" s="19">
        <v>1200</v>
      </c>
      <c r="H1528" s="19">
        <v>1240</v>
      </c>
      <c r="I1528" s="10">
        <v>1200</v>
      </c>
      <c r="J1528" s="9">
        <v>1200</v>
      </c>
      <c r="K1528" s="10">
        <v>1200</v>
      </c>
      <c r="L1528" s="9">
        <f>1200-1200</f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</row>
    <row r="1529" spans="1:17" ht="12.75">
      <c r="A1529" s="3" t="s">
        <v>1834</v>
      </c>
      <c r="B1529" s="11" t="s">
        <v>1835</v>
      </c>
      <c r="C1529" s="36">
        <v>573000</v>
      </c>
      <c r="E1529" s="3" t="s">
        <v>2433</v>
      </c>
      <c r="F1529" s="19">
        <v>60</v>
      </c>
      <c r="G1529" s="19">
        <v>300.5</v>
      </c>
      <c r="H1529" s="19">
        <v>110</v>
      </c>
      <c r="I1529" s="10">
        <v>234.28</v>
      </c>
      <c r="J1529" s="9">
        <v>65</v>
      </c>
      <c r="K1529" s="10">
        <v>75</v>
      </c>
      <c r="L1529" s="9">
        <v>200</v>
      </c>
      <c r="M1529" s="9">
        <v>325</v>
      </c>
      <c r="N1529" s="9">
        <v>235</v>
      </c>
      <c r="O1529" s="9">
        <v>300</v>
      </c>
      <c r="P1529" s="9">
        <v>300</v>
      </c>
      <c r="Q1529" s="9">
        <v>300</v>
      </c>
    </row>
    <row r="1530" spans="5:18" ht="12.75">
      <c r="E1530" s="20" t="s">
        <v>2274</v>
      </c>
      <c r="F1530" s="21">
        <f aca="true" t="shared" si="344" ref="F1530:L1530">SUM(F1528:F1529)</f>
        <v>60</v>
      </c>
      <c r="G1530" s="21">
        <f t="shared" si="344"/>
        <v>1500.5</v>
      </c>
      <c r="H1530" s="21">
        <f t="shared" si="344"/>
        <v>1350</v>
      </c>
      <c r="I1530" s="22">
        <f t="shared" si="344"/>
        <v>1434.28</v>
      </c>
      <c r="J1530" s="23">
        <f t="shared" si="344"/>
        <v>1265</v>
      </c>
      <c r="K1530" s="23">
        <f t="shared" si="344"/>
        <v>1275</v>
      </c>
      <c r="L1530" s="7">
        <f t="shared" si="344"/>
        <v>200</v>
      </c>
      <c r="M1530" s="7">
        <f aca="true" t="shared" si="345" ref="M1530:R1530">SUM(M1523:M1529)</f>
        <v>6392.24</v>
      </c>
      <c r="N1530" s="7">
        <f t="shared" si="345"/>
        <v>9737.4</v>
      </c>
      <c r="O1530" s="7">
        <f t="shared" si="345"/>
        <v>11800</v>
      </c>
      <c r="P1530" s="7">
        <f t="shared" si="345"/>
        <v>12500</v>
      </c>
      <c r="Q1530" s="7">
        <f t="shared" si="345"/>
        <v>12800</v>
      </c>
      <c r="R1530" s="7">
        <f t="shared" si="345"/>
        <v>0</v>
      </c>
    </row>
    <row r="1531" spans="5:9" ht="12.75">
      <c r="E1531" s="20"/>
      <c r="F1531" s="21"/>
      <c r="G1531" s="21"/>
      <c r="H1531" s="21"/>
      <c r="I1531" s="22"/>
    </row>
    <row r="1532" spans="2:12" ht="12.75" hidden="1">
      <c r="B1532" s="11" t="s">
        <v>1836</v>
      </c>
      <c r="E1532" s="3" t="s">
        <v>255</v>
      </c>
      <c r="F1532" s="37">
        <v>7091</v>
      </c>
      <c r="G1532" s="37">
        <v>6529.11</v>
      </c>
      <c r="H1532" s="37">
        <v>0</v>
      </c>
      <c r="I1532" s="8">
        <v>0</v>
      </c>
      <c r="J1532" s="9">
        <v>0</v>
      </c>
      <c r="K1532" s="8">
        <v>0</v>
      </c>
      <c r="L1532" s="9">
        <v>0</v>
      </c>
    </row>
    <row r="1533" spans="5:18" ht="12.75" hidden="1">
      <c r="E1533" s="20" t="s">
        <v>2277</v>
      </c>
      <c r="F1533" s="21">
        <f aca="true" t="shared" si="346" ref="F1533:K1533">SUM(F1532)</f>
        <v>7091</v>
      </c>
      <c r="G1533" s="21">
        <f t="shared" si="346"/>
        <v>6529.11</v>
      </c>
      <c r="H1533" s="21">
        <f t="shared" si="346"/>
        <v>0</v>
      </c>
      <c r="I1533" s="22">
        <f t="shared" si="346"/>
        <v>0</v>
      </c>
      <c r="J1533" s="23">
        <f t="shared" si="346"/>
        <v>0</v>
      </c>
      <c r="K1533" s="23">
        <f t="shared" si="346"/>
        <v>0</v>
      </c>
      <c r="L1533" s="7">
        <f>SUM(L1532)</f>
        <v>0</v>
      </c>
      <c r="M1533" s="7"/>
      <c r="N1533" s="7"/>
      <c r="O1533" s="7"/>
      <c r="P1533" s="7"/>
      <c r="Q1533" s="7"/>
      <c r="R1533" s="7"/>
    </row>
    <row r="1534" ht="12.75" hidden="1">
      <c r="I1534" s="10"/>
    </row>
    <row r="1535" spans="5:18" ht="12.75">
      <c r="E1535" s="2" t="s">
        <v>1837</v>
      </c>
      <c r="F1535" s="31">
        <f aca="true" t="shared" si="347" ref="F1535:L1535">SUM(F1514:F1533)/2</f>
        <v>113377.5</v>
      </c>
      <c r="G1535" s="31">
        <f t="shared" si="347"/>
        <v>111708.07499999998</v>
      </c>
      <c r="H1535" s="31">
        <f t="shared" si="347"/>
        <v>103911.11499999999</v>
      </c>
      <c r="I1535" s="28">
        <f t="shared" si="347"/>
        <v>109348.82500000001</v>
      </c>
      <c r="J1535" s="28">
        <f t="shared" si="347"/>
        <v>118585.56999999999</v>
      </c>
      <c r="K1535" s="28">
        <f t="shared" si="347"/>
        <v>119078.54</v>
      </c>
      <c r="L1535" s="32">
        <f t="shared" si="347"/>
        <v>128667.13500000001</v>
      </c>
      <c r="M1535" s="32">
        <f aca="true" t="shared" si="348" ref="M1535:R1535">SUM(M1514:M1533)/2</f>
        <v>132861.55</v>
      </c>
      <c r="N1535" s="32">
        <f t="shared" si="348"/>
        <v>143588.17000000004</v>
      </c>
      <c r="O1535" s="32">
        <f t="shared" si="348"/>
        <v>143670</v>
      </c>
      <c r="P1535" s="32">
        <f t="shared" si="348"/>
        <v>144370</v>
      </c>
      <c r="Q1535" s="32">
        <f t="shared" si="348"/>
        <v>143578</v>
      </c>
      <c r="R1535" s="32">
        <f t="shared" si="348"/>
        <v>0</v>
      </c>
    </row>
    <row r="1536" spans="5:9" ht="12.75">
      <c r="E1536" s="38"/>
      <c r="I1536" s="10"/>
    </row>
    <row r="1537" spans="3:10" ht="12.75">
      <c r="C1537" s="196">
        <v>16321</v>
      </c>
      <c r="D1537" s="196"/>
      <c r="E1537" s="163" t="s">
        <v>2155</v>
      </c>
      <c r="I1537" s="10"/>
      <c r="J1537" s="10"/>
    </row>
    <row r="1538" spans="2:17" ht="12.75">
      <c r="B1538" s="11" t="s">
        <v>1838</v>
      </c>
      <c r="C1538" s="36">
        <v>511000</v>
      </c>
      <c r="E1538" s="3" t="s">
        <v>2363</v>
      </c>
      <c r="F1538" s="19">
        <v>27318</v>
      </c>
      <c r="G1538" s="19">
        <v>28223.92</v>
      </c>
      <c r="H1538" s="19">
        <v>29180.16</v>
      </c>
      <c r="I1538" s="10">
        <v>28887.14</v>
      </c>
      <c r="J1538" s="9">
        <v>33428.94</v>
      </c>
      <c r="K1538" s="10">
        <v>34874.63</v>
      </c>
      <c r="L1538" s="9">
        <v>34569.24</v>
      </c>
      <c r="M1538" s="9">
        <v>35121.11</v>
      </c>
      <c r="N1538" s="9">
        <v>36355.02</v>
      </c>
      <c r="O1538" s="9">
        <v>36985</v>
      </c>
      <c r="P1538" s="9">
        <v>36985</v>
      </c>
      <c r="Q1538" s="9">
        <v>37127</v>
      </c>
    </row>
    <row r="1539" spans="2:17" ht="12.75">
      <c r="B1539" s="11" t="s">
        <v>1839</v>
      </c>
      <c r="C1539" s="36">
        <v>511101</v>
      </c>
      <c r="E1539" s="3" t="s">
        <v>1840</v>
      </c>
      <c r="F1539" s="19">
        <v>33581</v>
      </c>
      <c r="G1539" s="19">
        <v>37740.71</v>
      </c>
      <c r="H1539" s="19">
        <v>41063.98</v>
      </c>
      <c r="I1539" s="10">
        <v>38352.01</v>
      </c>
      <c r="J1539" s="10">
        <v>36418.26</v>
      </c>
      <c r="K1539" s="10">
        <v>35221.38</v>
      </c>
      <c r="L1539" s="9">
        <v>37450.57</v>
      </c>
      <c r="M1539" s="9">
        <v>38812.01</v>
      </c>
      <c r="N1539" s="9">
        <v>36917.08</v>
      </c>
      <c r="O1539" s="9">
        <v>29975</v>
      </c>
      <c r="P1539" s="9">
        <v>29975</v>
      </c>
      <c r="Q1539" s="9">
        <v>33935</v>
      </c>
    </row>
    <row r="1540" spans="2:17" ht="12.75">
      <c r="B1540" s="11" t="s">
        <v>1841</v>
      </c>
      <c r="C1540" s="36">
        <v>511102</v>
      </c>
      <c r="E1540" s="3" t="s">
        <v>1842</v>
      </c>
      <c r="F1540" s="19">
        <v>5732</v>
      </c>
      <c r="G1540" s="19">
        <v>2004</v>
      </c>
      <c r="H1540" s="19">
        <v>2183.51</v>
      </c>
      <c r="I1540" s="10">
        <v>3597.71</v>
      </c>
      <c r="J1540" s="9">
        <v>1562</v>
      </c>
      <c r="K1540" s="10">
        <v>2377</v>
      </c>
      <c r="L1540" s="9">
        <v>2670</v>
      </c>
      <c r="M1540" s="9">
        <v>2144</v>
      </c>
      <c r="N1540" s="9">
        <v>2176.25</v>
      </c>
      <c r="O1540" s="9">
        <v>2521</v>
      </c>
      <c r="P1540" s="9">
        <v>2400</v>
      </c>
      <c r="Q1540" s="9">
        <v>2400</v>
      </c>
    </row>
    <row r="1541" spans="2:17" ht="12.75">
      <c r="B1541" s="11" t="s">
        <v>1843</v>
      </c>
      <c r="C1541" s="36">
        <v>511103</v>
      </c>
      <c r="E1541" s="3" t="s">
        <v>1844</v>
      </c>
      <c r="F1541" s="19">
        <v>69794</v>
      </c>
      <c r="G1541" s="19">
        <v>75997.11</v>
      </c>
      <c r="H1541" s="19">
        <v>89060.11</v>
      </c>
      <c r="I1541" s="10">
        <v>84869.69</v>
      </c>
      <c r="J1541" s="9">
        <v>93566.53</v>
      </c>
      <c r="K1541" s="10">
        <v>96372.5</v>
      </c>
      <c r="L1541" s="9">
        <v>94913.88</v>
      </c>
      <c r="M1541" s="9">
        <v>95201.02</v>
      </c>
      <c r="N1541" s="9">
        <v>95957.96</v>
      </c>
      <c r="O1541" s="9">
        <v>98596</v>
      </c>
      <c r="P1541" s="9">
        <v>98596</v>
      </c>
      <c r="Q1541" s="9">
        <v>98596</v>
      </c>
    </row>
    <row r="1542" spans="2:17" ht="12.75">
      <c r="B1542" s="11" t="s">
        <v>1845</v>
      </c>
      <c r="C1542" s="36">
        <v>511104</v>
      </c>
      <c r="E1542" s="3" t="s">
        <v>1846</v>
      </c>
      <c r="F1542" s="19">
        <v>73909</v>
      </c>
      <c r="G1542" s="19">
        <v>78649.6</v>
      </c>
      <c r="H1542" s="19">
        <v>73590.84</v>
      </c>
      <c r="I1542" s="10">
        <v>79599.23</v>
      </c>
      <c r="J1542" s="10">
        <v>83716.89</v>
      </c>
      <c r="K1542" s="10">
        <v>84933.46</v>
      </c>
      <c r="L1542" s="9">
        <v>85844.16</v>
      </c>
      <c r="M1542" s="9">
        <v>91084.73</v>
      </c>
      <c r="N1542" s="9">
        <v>93153.05</v>
      </c>
      <c r="O1542" s="9">
        <v>77490</v>
      </c>
      <c r="P1542" s="9">
        <v>77490</v>
      </c>
      <c r="Q1542" s="9">
        <v>86904</v>
      </c>
    </row>
    <row r="1543" spans="2:17" ht="12.75">
      <c r="B1543" s="11" t="s">
        <v>1847</v>
      </c>
      <c r="C1543" s="36">
        <v>511105</v>
      </c>
      <c r="E1543" s="3" t="s">
        <v>1848</v>
      </c>
      <c r="F1543" s="19">
        <v>18968</v>
      </c>
      <c r="G1543" s="19">
        <v>19585.5</v>
      </c>
      <c r="H1543" s="19">
        <v>23814.75</v>
      </c>
      <c r="I1543" s="10">
        <v>22778.84</v>
      </c>
      <c r="J1543" s="10">
        <v>20232.96</v>
      </c>
      <c r="K1543" s="10">
        <v>21704.05</v>
      </c>
      <c r="L1543" s="9">
        <v>22668.76</v>
      </c>
      <c r="M1543" s="9">
        <v>20366.01</v>
      </c>
      <c r="N1543" s="9">
        <v>19112.31</v>
      </c>
      <c r="O1543" s="9">
        <v>24184</v>
      </c>
      <c r="P1543" s="9">
        <v>23180</v>
      </c>
      <c r="Q1543" s="9">
        <v>24184</v>
      </c>
    </row>
    <row r="1544" spans="2:17" ht="12.75">
      <c r="B1544" s="11" t="s">
        <v>1849</v>
      </c>
      <c r="C1544" s="36">
        <v>511106</v>
      </c>
      <c r="E1544" s="3" t="s">
        <v>1850</v>
      </c>
      <c r="F1544" s="19">
        <v>51231</v>
      </c>
      <c r="G1544" s="19">
        <v>36663.86</v>
      </c>
      <c r="H1544" s="19">
        <v>50568.22</v>
      </c>
      <c r="I1544" s="10">
        <v>67258.32</v>
      </c>
      <c r="J1544" s="10">
        <v>85515.62</v>
      </c>
      <c r="K1544" s="10">
        <v>89940.74</v>
      </c>
      <c r="L1544" s="9">
        <v>94806.59</v>
      </c>
      <c r="M1544" s="9">
        <v>84585.19</v>
      </c>
      <c r="N1544" s="9">
        <v>89207.53</v>
      </c>
      <c r="O1544" s="9">
        <v>91506</v>
      </c>
      <c r="P1544" s="9">
        <v>87171</v>
      </c>
      <c r="Q1544" s="9">
        <v>91120</v>
      </c>
    </row>
    <row r="1545" spans="2:17" ht="12.75">
      <c r="B1545" s="11" t="s">
        <v>1852</v>
      </c>
      <c r="C1545" s="36">
        <v>517000</v>
      </c>
      <c r="E1545" s="3" t="s">
        <v>2222</v>
      </c>
      <c r="F1545" s="19">
        <v>5068</v>
      </c>
      <c r="G1545" s="19">
        <v>5068</v>
      </c>
      <c r="H1545" s="19">
        <v>6215</v>
      </c>
      <c r="I1545" s="10">
        <v>6889</v>
      </c>
      <c r="J1545" s="10">
        <v>8543</v>
      </c>
      <c r="K1545" s="10">
        <v>3554</v>
      </c>
      <c r="L1545" s="9">
        <v>15892</v>
      </c>
      <c r="M1545" s="9">
        <v>15600.39</v>
      </c>
      <c r="N1545" s="9">
        <v>19243</v>
      </c>
      <c r="O1545" s="9">
        <v>12000</v>
      </c>
      <c r="P1545" s="9">
        <v>5702</v>
      </c>
      <c r="Q1545" s="9">
        <v>15633</v>
      </c>
    </row>
    <row r="1546" spans="2:17" ht="12.75">
      <c r="B1546" s="11" t="s">
        <v>1851</v>
      </c>
      <c r="C1546" s="36">
        <v>517200</v>
      </c>
      <c r="E1546" s="3" t="s">
        <v>2683</v>
      </c>
      <c r="F1546" s="19">
        <v>7676</v>
      </c>
      <c r="G1546" s="19">
        <v>5757</v>
      </c>
      <c r="H1546" s="19">
        <v>5757</v>
      </c>
      <c r="I1546" s="10">
        <v>5757</v>
      </c>
      <c r="J1546" s="10">
        <v>5757</v>
      </c>
      <c r="K1546" s="10">
        <v>5757</v>
      </c>
      <c r="L1546" s="9">
        <v>5757</v>
      </c>
      <c r="M1546" s="9">
        <v>5702</v>
      </c>
      <c r="N1546" s="9">
        <v>4389</v>
      </c>
      <c r="O1546" s="9">
        <v>5702</v>
      </c>
      <c r="P1546" s="9">
        <v>12000</v>
      </c>
      <c r="Q1546" s="9">
        <v>7291</v>
      </c>
    </row>
    <row r="1547" spans="2:17" ht="12.75">
      <c r="B1547" s="11" t="s">
        <v>1853</v>
      </c>
      <c r="C1547" s="36">
        <v>517800</v>
      </c>
      <c r="E1547" s="3" t="s">
        <v>2298</v>
      </c>
      <c r="F1547" s="19">
        <v>5865</v>
      </c>
      <c r="G1547" s="19">
        <v>2392</v>
      </c>
      <c r="H1547" s="19">
        <v>3802</v>
      </c>
      <c r="I1547" s="10">
        <v>4070</v>
      </c>
      <c r="J1547" s="10">
        <v>3080</v>
      </c>
      <c r="K1547" s="10">
        <v>3490</v>
      </c>
      <c r="L1547" s="9">
        <v>3490</v>
      </c>
      <c r="M1547" s="9">
        <v>3279</v>
      </c>
      <c r="N1547" s="9">
        <v>3797</v>
      </c>
      <c r="O1547" s="9">
        <v>3797</v>
      </c>
      <c r="P1547" s="9">
        <v>3797</v>
      </c>
      <c r="Q1547" s="9">
        <v>4796</v>
      </c>
    </row>
    <row r="1548" spans="2:18" ht="12.75">
      <c r="B1548" s="15"/>
      <c r="C1548" s="39"/>
      <c r="D1548" s="39"/>
      <c r="E1548" s="20" t="s">
        <v>2187</v>
      </c>
      <c r="F1548" s="25">
        <f aca="true" t="shared" si="349" ref="F1548:L1548">SUM(F1538:F1547)</f>
        <v>299142</v>
      </c>
      <c r="G1548" s="25">
        <f t="shared" si="349"/>
        <v>292081.7</v>
      </c>
      <c r="H1548" s="25">
        <f t="shared" si="349"/>
        <v>325235.57</v>
      </c>
      <c r="I1548" s="23">
        <f t="shared" si="349"/>
        <v>342058.93999999994</v>
      </c>
      <c r="J1548" s="23">
        <f t="shared" si="349"/>
        <v>371821.2</v>
      </c>
      <c r="K1548" s="23">
        <f t="shared" si="349"/>
        <v>378224.76</v>
      </c>
      <c r="L1548" s="7">
        <f t="shared" si="349"/>
        <v>398062.19999999995</v>
      </c>
      <c r="M1548" s="7">
        <f aca="true" t="shared" si="350" ref="M1548:R1548">SUM(M1538:M1547)</f>
        <v>391895.46</v>
      </c>
      <c r="N1548" s="7">
        <f t="shared" si="350"/>
        <v>400308.19999999995</v>
      </c>
      <c r="O1548" s="7">
        <f t="shared" si="350"/>
        <v>382756</v>
      </c>
      <c r="P1548" s="7">
        <f t="shared" si="350"/>
        <v>377296</v>
      </c>
      <c r="Q1548" s="7">
        <f t="shared" si="350"/>
        <v>401986</v>
      </c>
      <c r="R1548" s="7">
        <f t="shared" si="350"/>
        <v>0</v>
      </c>
    </row>
    <row r="1549" spans="3:10" ht="12.75">
      <c r="C1549" s="196">
        <v>16322</v>
      </c>
      <c r="D1549" s="196"/>
      <c r="I1549" s="10"/>
      <c r="J1549" s="10"/>
    </row>
    <row r="1550" spans="2:10" ht="12.75" hidden="1">
      <c r="B1550" s="11" t="s">
        <v>1078</v>
      </c>
      <c r="E1550" s="3" t="s">
        <v>2960</v>
      </c>
      <c r="I1550" s="10"/>
      <c r="J1550" s="10"/>
    </row>
    <row r="1551" spans="2:10" ht="12.75" hidden="1">
      <c r="B1551" s="11" t="s">
        <v>1079</v>
      </c>
      <c r="E1551" s="3" t="s">
        <v>1854</v>
      </c>
      <c r="I1551" s="10"/>
      <c r="J1551" s="10"/>
    </row>
    <row r="1552" spans="2:10" ht="12.75" hidden="1">
      <c r="B1552" s="11" t="s">
        <v>1082</v>
      </c>
      <c r="E1552" s="3" t="s">
        <v>1855</v>
      </c>
      <c r="I1552" s="10"/>
      <c r="J1552" s="10"/>
    </row>
    <row r="1553" spans="2:9" ht="12.75" hidden="1">
      <c r="B1553" s="11" t="s">
        <v>1083</v>
      </c>
      <c r="E1553" s="3" t="s">
        <v>1856</v>
      </c>
      <c r="I1553" s="10"/>
    </row>
    <row r="1554" spans="2:14" ht="12.75" hidden="1">
      <c r="B1554" s="11" t="s">
        <v>1857</v>
      </c>
      <c r="E1554" s="3" t="s">
        <v>1858</v>
      </c>
      <c r="F1554" s="19">
        <v>18538</v>
      </c>
      <c r="G1554" s="19">
        <v>13969.83</v>
      </c>
      <c r="H1554" s="19">
        <v>22950.61</v>
      </c>
      <c r="I1554" s="10">
        <v>18746.78</v>
      </c>
      <c r="J1554" s="9">
        <v>16725.56</v>
      </c>
      <c r="K1554" s="10">
        <v>14660.72</v>
      </c>
      <c r="L1554" s="9">
        <v>0</v>
      </c>
      <c r="M1554" s="9">
        <v>0</v>
      </c>
      <c r="N1554" s="9">
        <v>0</v>
      </c>
    </row>
    <row r="1555" spans="2:17" ht="12.75">
      <c r="B1555" s="50" t="s">
        <v>2317</v>
      </c>
      <c r="C1555" s="49">
        <v>529300</v>
      </c>
      <c r="D1555" s="49"/>
      <c r="E1555" s="3" t="s">
        <v>1862</v>
      </c>
      <c r="F1555" s="19">
        <v>0</v>
      </c>
      <c r="H1555" s="19">
        <v>16389.75</v>
      </c>
      <c r="I1555" s="10">
        <v>18283</v>
      </c>
      <c r="J1555" s="10">
        <v>22034.18</v>
      </c>
      <c r="K1555" s="10">
        <v>12859.32</v>
      </c>
      <c r="L1555" s="9">
        <v>12531.47</v>
      </c>
      <c r="M1555" s="9">
        <v>12564.03</v>
      </c>
      <c r="N1555" s="9">
        <v>11336.54</v>
      </c>
      <c r="O1555" s="9">
        <v>17000</v>
      </c>
      <c r="P1555" s="9">
        <v>16000</v>
      </c>
      <c r="Q1555" s="9">
        <v>16000</v>
      </c>
    </row>
    <row r="1556" spans="2:17" ht="12.75">
      <c r="B1556" s="50"/>
      <c r="C1556" s="49">
        <v>533000</v>
      </c>
      <c r="D1556" s="49"/>
      <c r="E1556" s="3" t="s">
        <v>2515</v>
      </c>
      <c r="I1556" s="10"/>
      <c r="J1556" s="10"/>
      <c r="K1556" s="10"/>
      <c r="Q1556" s="9">
        <v>28300</v>
      </c>
    </row>
    <row r="1557" spans="2:17" ht="12.75">
      <c r="B1557" s="50" t="s">
        <v>1864</v>
      </c>
      <c r="C1557" s="49">
        <v>533500</v>
      </c>
      <c r="D1557" s="49"/>
      <c r="E1557" s="3" t="s">
        <v>1865</v>
      </c>
      <c r="F1557" s="19">
        <v>0</v>
      </c>
      <c r="H1557" s="19">
        <v>5000</v>
      </c>
      <c r="I1557" s="10">
        <v>5000</v>
      </c>
      <c r="J1557" s="10">
        <v>5000</v>
      </c>
      <c r="K1557" s="10">
        <v>6000</v>
      </c>
      <c r="L1557" s="9">
        <v>5000</v>
      </c>
      <c r="M1557" s="9">
        <v>5000</v>
      </c>
      <c r="N1557" s="9">
        <v>5000</v>
      </c>
      <c r="O1557" s="9">
        <v>0</v>
      </c>
      <c r="Q1557" s="9">
        <v>0</v>
      </c>
    </row>
    <row r="1558" spans="2:14" ht="12.75" hidden="1">
      <c r="B1558" s="11" t="s">
        <v>1860</v>
      </c>
      <c r="E1558" s="3" t="s">
        <v>1861</v>
      </c>
      <c r="F1558" s="19">
        <v>2233</v>
      </c>
      <c r="G1558" s="19">
        <v>510.26</v>
      </c>
      <c r="H1558" s="19">
        <v>200</v>
      </c>
      <c r="I1558" s="10">
        <v>200</v>
      </c>
      <c r="J1558" s="9">
        <v>0</v>
      </c>
      <c r="K1558" s="10">
        <v>200</v>
      </c>
      <c r="L1558" s="9">
        <v>0</v>
      </c>
      <c r="N1558" s="9">
        <v>0</v>
      </c>
    </row>
    <row r="1559" spans="2:17" ht="12.75">
      <c r="B1559" s="11" t="s">
        <v>1863</v>
      </c>
      <c r="C1559" s="36">
        <v>534100</v>
      </c>
      <c r="E1559" s="3" t="s">
        <v>2470</v>
      </c>
      <c r="F1559" s="19">
        <v>2504</v>
      </c>
      <c r="G1559" s="19">
        <v>1819.6</v>
      </c>
      <c r="H1559" s="19">
        <v>1815.68</v>
      </c>
      <c r="I1559" s="10">
        <v>1990.52</v>
      </c>
      <c r="J1559" s="10">
        <v>2017</v>
      </c>
      <c r="K1559" s="10">
        <v>2081.34</v>
      </c>
      <c r="L1559" s="9">
        <v>1392.87</v>
      </c>
      <c r="M1559" s="9">
        <v>1416.9</v>
      </c>
      <c r="N1559" s="9">
        <v>1845.67</v>
      </c>
      <c r="O1559" s="9">
        <v>1600</v>
      </c>
      <c r="P1559" s="9">
        <v>1600</v>
      </c>
      <c r="Q1559" s="9">
        <v>1600</v>
      </c>
    </row>
    <row r="1560" spans="2:14" ht="12.75">
      <c r="B1560" s="11" t="s">
        <v>1868</v>
      </c>
      <c r="C1560" s="36">
        <v>534700</v>
      </c>
      <c r="E1560" s="3" t="s">
        <v>2193</v>
      </c>
      <c r="F1560" s="19">
        <v>1257</v>
      </c>
      <c r="G1560" s="19">
        <v>1065</v>
      </c>
      <c r="H1560" s="19">
        <v>1706</v>
      </c>
      <c r="I1560" s="10">
        <v>1418</v>
      </c>
      <c r="J1560" s="10">
        <v>1399.76</v>
      </c>
      <c r="K1560" s="10">
        <v>2258.76</v>
      </c>
      <c r="L1560" s="9">
        <v>788.79</v>
      </c>
      <c r="M1560" s="9">
        <v>1000</v>
      </c>
      <c r="N1560" s="9">
        <v>53.16</v>
      </c>
    </row>
    <row r="1561" spans="2:16" ht="12.75">
      <c r="B1561" s="11">
        <v>6888.3</v>
      </c>
      <c r="C1561" s="36">
        <v>535000</v>
      </c>
      <c r="E1561" s="3" t="s">
        <v>1859</v>
      </c>
      <c r="F1561" s="19">
        <v>22876</v>
      </c>
      <c r="G1561" s="19">
        <v>21366.05</v>
      </c>
      <c r="H1561" s="19">
        <v>18370</v>
      </c>
      <c r="I1561" s="10">
        <v>16384</v>
      </c>
      <c r="J1561" s="9">
        <v>19277</v>
      </c>
      <c r="K1561" s="10">
        <v>24505</v>
      </c>
      <c r="L1561" s="9">
        <v>20160</v>
      </c>
      <c r="M1561" s="9">
        <v>20463.55</v>
      </c>
      <c r="N1561" s="9">
        <v>24603.19</v>
      </c>
      <c r="O1561" s="9">
        <v>21000</v>
      </c>
      <c r="P1561" s="9">
        <v>21540</v>
      </c>
    </row>
    <row r="1562" spans="2:15" ht="12.75">
      <c r="B1562" s="50" t="s">
        <v>1866</v>
      </c>
      <c r="C1562" s="49">
        <v>545001</v>
      </c>
      <c r="D1562" s="49"/>
      <c r="E1562" s="3" t="s">
        <v>1867</v>
      </c>
      <c r="F1562" s="19">
        <v>0</v>
      </c>
      <c r="H1562" s="19">
        <v>114.56</v>
      </c>
      <c r="I1562" s="10">
        <v>1686.65</v>
      </c>
      <c r="J1562" s="10">
        <v>0</v>
      </c>
      <c r="K1562" s="10">
        <v>640</v>
      </c>
      <c r="L1562" s="9">
        <v>3000</v>
      </c>
      <c r="N1562" s="9">
        <v>1109.91</v>
      </c>
      <c r="O1562" s="9">
        <v>0</v>
      </c>
    </row>
    <row r="1563" spans="2:17" ht="12.75">
      <c r="B1563" s="11" t="s">
        <v>1869</v>
      </c>
      <c r="C1563" s="36">
        <v>545001</v>
      </c>
      <c r="E1563" s="3" t="s">
        <v>1870</v>
      </c>
      <c r="F1563" s="19">
        <v>18032</v>
      </c>
      <c r="G1563" s="19">
        <v>38225.18</v>
      </c>
      <c r="H1563" s="19">
        <v>33216.02</v>
      </c>
      <c r="I1563" s="10">
        <v>30921.52</v>
      </c>
      <c r="J1563" s="10">
        <v>22623.53</v>
      </c>
      <c r="K1563" s="10">
        <v>25370.46</v>
      </c>
      <c r="L1563" s="9">
        <v>26133.71</v>
      </c>
      <c r="M1563" s="9">
        <v>25481.32</v>
      </c>
      <c r="N1563" s="9">
        <v>25601.89</v>
      </c>
      <c r="O1563" s="9">
        <v>21120</v>
      </c>
      <c r="P1563" s="9">
        <v>26280</v>
      </c>
      <c r="Q1563" s="9">
        <v>19970</v>
      </c>
    </row>
    <row r="1564" spans="2:14" ht="12.75">
      <c r="B1564" s="11" t="s">
        <v>1871</v>
      </c>
      <c r="C1564" s="36">
        <v>545004</v>
      </c>
      <c r="E1564" s="3" t="s">
        <v>1872</v>
      </c>
      <c r="F1564" s="19">
        <v>1379</v>
      </c>
      <c r="G1564" s="19">
        <v>2184.6</v>
      </c>
      <c r="H1564" s="19">
        <v>2109.84</v>
      </c>
      <c r="I1564" s="10">
        <v>1835.81</v>
      </c>
      <c r="J1564" s="10">
        <v>1532.2</v>
      </c>
      <c r="K1564" s="10">
        <v>1571.6</v>
      </c>
      <c r="L1564" s="9">
        <v>1000</v>
      </c>
      <c r="M1564" s="9">
        <v>1000</v>
      </c>
      <c r="N1564" s="9">
        <v>0</v>
      </c>
    </row>
    <row r="1565" spans="2:17" ht="12.75">
      <c r="B1565" s="11">
        <v>6888.4</v>
      </c>
      <c r="C1565" s="36">
        <v>558900</v>
      </c>
      <c r="E1565" s="3" t="s">
        <v>1878</v>
      </c>
      <c r="I1565" s="10"/>
      <c r="K1565" s="10"/>
      <c r="O1565" s="9">
        <v>9920</v>
      </c>
      <c r="P1565" s="9">
        <v>7800</v>
      </c>
      <c r="Q1565" s="9">
        <v>8000</v>
      </c>
    </row>
    <row r="1566" spans="2:18" ht="12.75">
      <c r="B1566" s="15"/>
      <c r="C1566" s="39"/>
      <c r="D1566" s="39"/>
      <c r="E1566" s="20" t="s">
        <v>2274</v>
      </c>
      <c r="F1566" s="25">
        <f aca="true" t="shared" si="351" ref="F1566:L1566">SUM(F1563:F1565)</f>
        <v>19411</v>
      </c>
      <c r="G1566" s="25">
        <f t="shared" si="351"/>
        <v>40409.78</v>
      </c>
      <c r="H1566" s="25">
        <f t="shared" si="351"/>
        <v>35325.86</v>
      </c>
      <c r="I1566" s="23">
        <f t="shared" si="351"/>
        <v>32757.33</v>
      </c>
      <c r="J1566" s="23">
        <f t="shared" si="351"/>
        <v>24155.73</v>
      </c>
      <c r="K1566" s="23">
        <f t="shared" si="351"/>
        <v>26942.059999999998</v>
      </c>
      <c r="L1566" s="7">
        <f t="shared" si="351"/>
        <v>27133.71</v>
      </c>
      <c r="M1566" s="7">
        <f aca="true" t="shared" si="352" ref="M1566:R1566">SUM(M1555:M1565)</f>
        <v>66925.79999999999</v>
      </c>
      <c r="N1566" s="7">
        <f t="shared" si="352"/>
        <v>69550.36</v>
      </c>
      <c r="O1566" s="7">
        <f t="shared" si="352"/>
        <v>70640</v>
      </c>
      <c r="P1566" s="7">
        <f t="shared" si="352"/>
        <v>73220</v>
      </c>
      <c r="Q1566" s="7">
        <f t="shared" si="352"/>
        <v>73870</v>
      </c>
      <c r="R1566" s="7">
        <f t="shared" si="352"/>
        <v>0</v>
      </c>
    </row>
    <row r="1567" spans="2:10" ht="12.75">
      <c r="B1567" s="15"/>
      <c r="C1567" s="39"/>
      <c r="D1567" s="39"/>
      <c r="E1567" s="20"/>
      <c r="F1567" s="25"/>
      <c r="G1567" s="25"/>
      <c r="H1567" s="25"/>
      <c r="I1567" s="23"/>
      <c r="J1567" s="10"/>
    </row>
    <row r="1568" spans="2:18" ht="12.75" hidden="1">
      <c r="B1568" s="11" t="s">
        <v>1873</v>
      </c>
      <c r="E1568" s="3" t="s">
        <v>2350</v>
      </c>
      <c r="F1568" s="19">
        <v>300</v>
      </c>
      <c r="G1568" s="19">
        <v>0</v>
      </c>
      <c r="H1568" s="19">
        <v>300</v>
      </c>
      <c r="I1568" s="10">
        <v>300</v>
      </c>
      <c r="J1568" s="10">
        <v>300</v>
      </c>
      <c r="K1568" s="10">
        <v>300</v>
      </c>
      <c r="L1568" s="9">
        <f aca="true" t="shared" si="353" ref="L1568:R1568">300-300</f>
        <v>0</v>
      </c>
      <c r="M1568" s="9">
        <f t="shared" si="353"/>
        <v>0</v>
      </c>
      <c r="N1568" s="9">
        <f t="shared" si="353"/>
        <v>0</v>
      </c>
      <c r="O1568" s="9">
        <f t="shared" si="353"/>
        <v>0</v>
      </c>
      <c r="P1568" s="9">
        <f t="shared" si="353"/>
        <v>0</v>
      </c>
      <c r="Q1568" s="9">
        <f t="shared" si="353"/>
        <v>0</v>
      </c>
      <c r="R1568" s="9">
        <f t="shared" si="353"/>
        <v>0</v>
      </c>
    </row>
    <row r="1569" spans="2:18" ht="12.75" hidden="1">
      <c r="B1569" s="50" t="s">
        <v>1874</v>
      </c>
      <c r="C1569" s="49"/>
      <c r="D1569" s="49"/>
      <c r="E1569" s="3" t="s">
        <v>1338</v>
      </c>
      <c r="F1569" s="19">
        <v>0</v>
      </c>
      <c r="G1569" s="19">
        <v>0</v>
      </c>
      <c r="H1569" s="19">
        <v>1750.37</v>
      </c>
      <c r="I1569" s="10">
        <v>0</v>
      </c>
      <c r="J1569" s="10">
        <v>0</v>
      </c>
      <c r="K1569" s="10">
        <v>0</v>
      </c>
      <c r="L1569" s="9">
        <v>0</v>
      </c>
      <c r="M1569" s="9">
        <v>0</v>
      </c>
      <c r="N1569" s="9">
        <v>0</v>
      </c>
      <c r="O1569" s="9">
        <v>0</v>
      </c>
      <c r="P1569" s="9">
        <v>0</v>
      </c>
      <c r="Q1569" s="9">
        <v>0</v>
      </c>
      <c r="R1569" s="9">
        <v>0</v>
      </c>
    </row>
    <row r="1570" spans="2:18" ht="12.75" hidden="1">
      <c r="B1570" s="15"/>
      <c r="C1570" s="39"/>
      <c r="D1570" s="39"/>
      <c r="E1570" s="20" t="s">
        <v>2274</v>
      </c>
      <c r="F1570" s="25">
        <f aca="true" t="shared" si="354" ref="F1570:L1570">SUM(F1568:F1569)</f>
        <v>300</v>
      </c>
      <c r="G1570" s="25">
        <f t="shared" si="354"/>
        <v>0</v>
      </c>
      <c r="H1570" s="25">
        <f t="shared" si="354"/>
        <v>2050.37</v>
      </c>
      <c r="I1570" s="23">
        <f t="shared" si="354"/>
        <v>300</v>
      </c>
      <c r="J1570" s="23">
        <f t="shared" si="354"/>
        <v>300</v>
      </c>
      <c r="K1570" s="23">
        <f t="shared" si="354"/>
        <v>300</v>
      </c>
      <c r="L1570" s="7">
        <f t="shared" si="354"/>
        <v>0</v>
      </c>
      <c r="M1570" s="7">
        <f aca="true" t="shared" si="355" ref="M1570:R1570">SUM(M1568:M1569)</f>
        <v>0</v>
      </c>
      <c r="N1570" s="7">
        <f t="shared" si="355"/>
        <v>0</v>
      </c>
      <c r="O1570" s="7">
        <f t="shared" si="355"/>
        <v>0</v>
      </c>
      <c r="P1570" s="7">
        <f t="shared" si="355"/>
        <v>0</v>
      </c>
      <c r="Q1570" s="7">
        <f t="shared" si="355"/>
        <v>0</v>
      </c>
      <c r="R1570" s="7">
        <f t="shared" si="355"/>
        <v>0</v>
      </c>
    </row>
    <row r="1571" ht="12.75" hidden="1">
      <c r="I1571" s="10"/>
    </row>
    <row r="1572" spans="2:18" ht="12.75">
      <c r="B1572" s="15"/>
      <c r="C1572" s="39"/>
      <c r="D1572" s="39"/>
      <c r="E1572" s="2" t="s">
        <v>1875</v>
      </c>
      <c r="F1572" s="31">
        <f aca="true" t="shared" si="356" ref="F1572:L1572">SUM(F1538:F1571)/2</f>
        <v>342557</v>
      </c>
      <c r="G1572" s="31">
        <f t="shared" si="356"/>
        <v>351856.85000000003</v>
      </c>
      <c r="H1572" s="31">
        <f t="shared" si="356"/>
        <v>395885.10000000003</v>
      </c>
      <c r="I1572" s="28">
        <f t="shared" si="356"/>
        <v>406970.745</v>
      </c>
      <c r="J1572" s="28">
        <f t="shared" si="356"/>
        <v>429503.68000000005</v>
      </c>
      <c r="K1572" s="28">
        <f t="shared" si="356"/>
        <v>437069.3899999999</v>
      </c>
      <c r="L1572" s="32">
        <f t="shared" si="356"/>
        <v>446632.4749999999</v>
      </c>
      <c r="M1572" s="32">
        <f aca="true" t="shared" si="357" ref="M1572:R1572">SUM(M1538:M1571)/2</f>
        <v>458821.26</v>
      </c>
      <c r="N1572" s="32">
        <f t="shared" si="357"/>
        <v>469858.56</v>
      </c>
      <c r="O1572" s="32">
        <f t="shared" si="357"/>
        <v>453396</v>
      </c>
      <c r="P1572" s="32">
        <f t="shared" si="357"/>
        <v>450516</v>
      </c>
      <c r="Q1572" s="32">
        <f t="shared" si="357"/>
        <v>475856</v>
      </c>
      <c r="R1572" s="32">
        <f t="shared" si="357"/>
        <v>0</v>
      </c>
    </row>
    <row r="1573" spans="2:8" ht="12.75">
      <c r="B1573" s="82" t="s">
        <v>2180</v>
      </c>
      <c r="C1573" s="200"/>
      <c r="D1573" s="200"/>
      <c r="E1573" s="20"/>
      <c r="F1573" s="37"/>
      <c r="G1573" s="37"/>
      <c r="H1573" s="37"/>
    </row>
    <row r="1574" spans="5:18" ht="12.75">
      <c r="E1574" s="38" t="s">
        <v>1876</v>
      </c>
      <c r="F1574" s="56">
        <f aca="true" t="shared" si="358" ref="F1574:R1574">F1535+F1572</f>
        <v>455934.5</v>
      </c>
      <c r="G1574" s="56">
        <f t="shared" si="358"/>
        <v>463564.92500000005</v>
      </c>
      <c r="H1574" s="56">
        <f t="shared" si="358"/>
        <v>499796.215</v>
      </c>
      <c r="I1574" s="57">
        <f t="shared" si="358"/>
        <v>516319.57</v>
      </c>
      <c r="J1574" s="57">
        <f t="shared" si="358"/>
        <v>548089.25</v>
      </c>
      <c r="K1574" s="57">
        <f t="shared" si="358"/>
        <v>556147.9299999999</v>
      </c>
      <c r="L1574" s="32">
        <f t="shared" si="358"/>
        <v>575299.6099999999</v>
      </c>
      <c r="M1574" s="32">
        <f t="shared" si="358"/>
        <v>591682.81</v>
      </c>
      <c r="N1574" s="32">
        <f t="shared" si="358"/>
        <v>613446.73</v>
      </c>
      <c r="O1574" s="32">
        <f t="shared" si="358"/>
        <v>597066</v>
      </c>
      <c r="P1574" s="32">
        <f t="shared" si="358"/>
        <v>594886</v>
      </c>
      <c r="Q1574" s="32">
        <f t="shared" si="358"/>
        <v>619434</v>
      </c>
      <c r="R1574" s="32">
        <f t="shared" si="358"/>
        <v>0</v>
      </c>
    </row>
    <row r="1575" spans="5:8" ht="12.75">
      <c r="E1575" s="20"/>
      <c r="F1575" s="37"/>
      <c r="G1575" s="37"/>
      <c r="H1575" s="37"/>
    </row>
    <row r="1576" spans="2:18" ht="12.75">
      <c r="B1576" s="15"/>
      <c r="C1576" s="39"/>
      <c r="D1576" s="39"/>
      <c r="E1576" s="38" t="s">
        <v>1877</v>
      </c>
      <c r="F1576" s="56">
        <f aca="true" t="shared" si="359" ref="F1576:R1576">F1574+F1511</f>
        <v>1408818</v>
      </c>
      <c r="G1576" s="56">
        <f t="shared" si="359"/>
        <v>1496074.835</v>
      </c>
      <c r="H1576" s="56">
        <f t="shared" si="359"/>
        <v>1605524.8450000002</v>
      </c>
      <c r="I1576" s="57">
        <f t="shared" si="359"/>
        <v>1657066.1749999998</v>
      </c>
      <c r="J1576" s="28">
        <f t="shared" si="359"/>
        <v>1801258.685</v>
      </c>
      <c r="K1576" s="28">
        <f t="shared" si="359"/>
        <v>1839720.6849999998</v>
      </c>
      <c r="L1576" s="32">
        <f t="shared" si="359"/>
        <v>1818803.7949999997</v>
      </c>
      <c r="M1576" s="32">
        <f t="shared" si="359"/>
        <v>2100550.4699999997</v>
      </c>
      <c r="N1576" s="32">
        <f t="shared" si="359"/>
        <v>2195138.66</v>
      </c>
      <c r="O1576" s="32">
        <f t="shared" si="359"/>
        <v>2187518</v>
      </c>
      <c r="P1576" s="32">
        <f t="shared" si="359"/>
        <v>2197338</v>
      </c>
      <c r="Q1576" s="32">
        <f t="shared" si="359"/>
        <v>2284036</v>
      </c>
      <c r="R1576" s="32">
        <f t="shared" si="359"/>
        <v>0</v>
      </c>
    </row>
    <row r="1577" spans="2:18" ht="12.75">
      <c r="B1577" s="15"/>
      <c r="C1577" s="39"/>
      <c r="D1577" s="39"/>
      <c r="E1577" s="38"/>
      <c r="F1577" s="56"/>
      <c r="G1577" s="56"/>
      <c r="H1577" s="56"/>
      <c r="I1577" s="57"/>
      <c r="J1577" s="28"/>
      <c r="K1577" s="28"/>
      <c r="L1577" s="32"/>
      <c r="M1577" s="32"/>
      <c r="N1577" s="32"/>
      <c r="O1577" s="32"/>
      <c r="P1577" s="32"/>
      <c r="Q1577" s="32"/>
      <c r="R1577" s="32"/>
    </row>
    <row r="1578" spans="3:10" ht="12.75">
      <c r="C1578" s="196">
        <v>17102</v>
      </c>
      <c r="D1578" s="196"/>
      <c r="E1578" s="163" t="s">
        <v>1880</v>
      </c>
      <c r="J1578" s="10"/>
    </row>
    <row r="1579" spans="1:12" ht="12.75" hidden="1">
      <c r="A1579" s="3" t="s">
        <v>1881</v>
      </c>
      <c r="B1579" s="11">
        <v>6940</v>
      </c>
      <c r="E1579" s="3" t="s">
        <v>1339</v>
      </c>
      <c r="F1579" s="19">
        <v>1100000</v>
      </c>
      <c r="G1579" s="19">
        <v>500000</v>
      </c>
      <c r="H1579" s="19">
        <v>400000</v>
      </c>
      <c r="I1579" s="8">
        <v>0</v>
      </c>
      <c r="J1579" s="10">
        <v>0</v>
      </c>
      <c r="K1579" s="10">
        <v>0</v>
      </c>
      <c r="L1579" s="9">
        <v>0</v>
      </c>
    </row>
    <row r="1580" spans="1:18" ht="12.75" hidden="1">
      <c r="A1580" s="3" t="s">
        <v>1882</v>
      </c>
      <c r="B1580" s="36">
        <v>6943</v>
      </c>
      <c r="E1580" s="3" t="s">
        <v>1883</v>
      </c>
      <c r="F1580" s="19">
        <v>66400</v>
      </c>
      <c r="G1580" s="19">
        <v>66400</v>
      </c>
      <c r="H1580" s="19">
        <v>66400</v>
      </c>
      <c r="I1580" s="8">
        <v>33200</v>
      </c>
      <c r="J1580" s="9">
        <v>0</v>
      </c>
      <c r="K1580" s="10">
        <v>0</v>
      </c>
      <c r="L1580" s="9">
        <v>0</v>
      </c>
      <c r="M1580" s="9">
        <v>0</v>
      </c>
      <c r="N1580" s="9">
        <v>0</v>
      </c>
      <c r="O1580" s="9">
        <v>0</v>
      </c>
      <c r="P1580" s="9">
        <v>0</v>
      </c>
      <c r="Q1580" s="9">
        <v>0</v>
      </c>
      <c r="R1580" s="9">
        <v>0</v>
      </c>
    </row>
    <row r="1581" spans="2:18" ht="12.75" hidden="1">
      <c r="B1581" s="11" t="s">
        <v>1884</v>
      </c>
      <c r="E1581" s="3" t="s">
        <v>1885</v>
      </c>
      <c r="F1581" s="19">
        <v>108549</v>
      </c>
      <c r="G1581" s="19">
        <v>124007</v>
      </c>
      <c r="H1581" s="19">
        <v>0</v>
      </c>
      <c r="I1581" s="8">
        <v>0</v>
      </c>
      <c r="J1581" s="9">
        <v>0</v>
      </c>
      <c r="K1581" s="10">
        <v>0</v>
      </c>
      <c r="L1581" s="9">
        <v>0</v>
      </c>
      <c r="M1581" s="9">
        <v>0</v>
      </c>
      <c r="N1581" s="9">
        <v>0</v>
      </c>
      <c r="O1581" s="9">
        <v>0</v>
      </c>
      <c r="P1581" s="9">
        <v>0</v>
      </c>
      <c r="Q1581" s="9">
        <v>0</v>
      </c>
      <c r="R1581" s="9">
        <v>0</v>
      </c>
    </row>
    <row r="1582" spans="2:19" ht="12.75">
      <c r="B1582" s="36">
        <v>6926</v>
      </c>
      <c r="C1582" s="36">
        <v>591001</v>
      </c>
      <c r="E1582" s="3" t="s">
        <v>906</v>
      </c>
      <c r="F1582" s="19">
        <v>1090000</v>
      </c>
      <c r="G1582" s="19">
        <v>1090000</v>
      </c>
      <c r="H1582" s="19">
        <v>1090000</v>
      </c>
      <c r="I1582" s="8">
        <v>1090000</v>
      </c>
      <c r="J1582" s="9">
        <v>1090000</v>
      </c>
      <c r="K1582" s="10">
        <v>1090000</v>
      </c>
      <c r="L1582" s="9">
        <v>1090000</v>
      </c>
      <c r="M1582" s="9">
        <v>1090000</v>
      </c>
      <c r="N1582" s="9">
        <v>1090000</v>
      </c>
      <c r="O1582" s="9">
        <v>1090000</v>
      </c>
      <c r="P1582" s="9">
        <v>1090000</v>
      </c>
      <c r="Q1582" s="9">
        <v>1090000</v>
      </c>
      <c r="S1582" s="9">
        <v>1090000</v>
      </c>
    </row>
    <row r="1583" spans="1:19" ht="12.75">
      <c r="A1583" s="83"/>
      <c r="B1583" s="40">
        <v>6948</v>
      </c>
      <c r="C1583" s="36">
        <v>591002</v>
      </c>
      <c r="E1583" s="3" t="s">
        <v>1887</v>
      </c>
      <c r="F1583" s="19">
        <v>0</v>
      </c>
      <c r="H1583" s="19">
        <v>0</v>
      </c>
      <c r="I1583" s="8">
        <v>200000</v>
      </c>
      <c r="J1583" s="9">
        <v>200000</v>
      </c>
      <c r="K1583" s="10">
        <v>200000</v>
      </c>
      <c r="L1583" s="9">
        <v>200000</v>
      </c>
      <c r="M1583" s="9">
        <v>200000</v>
      </c>
      <c r="N1583" s="9">
        <v>200000</v>
      </c>
      <c r="O1583" s="9">
        <v>200000</v>
      </c>
      <c r="P1583" s="9">
        <v>200000</v>
      </c>
      <c r="Q1583" s="9">
        <v>200000</v>
      </c>
      <c r="S1583" s="9"/>
    </row>
    <row r="1584" spans="2:19" ht="12.75">
      <c r="B1584" s="40">
        <v>6930.2</v>
      </c>
      <c r="C1584" s="36">
        <v>591004</v>
      </c>
      <c r="E1584" s="3" t="s">
        <v>910</v>
      </c>
      <c r="K1584" s="10"/>
      <c r="L1584" s="9">
        <v>3170</v>
      </c>
      <c r="M1584" s="9">
        <v>3170</v>
      </c>
      <c r="N1584" s="9">
        <v>3170</v>
      </c>
      <c r="O1584" s="9">
        <v>3170</v>
      </c>
      <c r="P1584" s="9">
        <v>3170</v>
      </c>
      <c r="Q1584" s="9">
        <v>3170</v>
      </c>
      <c r="S1584" s="9"/>
    </row>
    <row r="1585" spans="2:19" ht="12.75">
      <c r="B1585" s="40">
        <v>6930.1</v>
      </c>
      <c r="C1585" s="36">
        <v>591201</v>
      </c>
      <c r="E1585" s="3" t="s">
        <v>909</v>
      </c>
      <c r="K1585" s="10"/>
      <c r="L1585" s="9">
        <v>355000</v>
      </c>
      <c r="M1585" s="9">
        <v>290000</v>
      </c>
      <c r="N1585" s="9">
        <v>170000</v>
      </c>
      <c r="O1585" s="9">
        <v>200000</v>
      </c>
      <c r="P1585" s="9">
        <v>200000</v>
      </c>
      <c r="Q1585" s="9">
        <v>200000</v>
      </c>
      <c r="S1585" s="9"/>
    </row>
    <row r="1586" spans="2:19" ht="12.75">
      <c r="B1586" s="36">
        <v>6930</v>
      </c>
      <c r="C1586" s="36">
        <v>591202</v>
      </c>
      <c r="E1586" s="3" t="s">
        <v>908</v>
      </c>
      <c r="K1586" s="10"/>
      <c r="L1586" s="9">
        <v>600000</v>
      </c>
      <c r="M1586" s="9">
        <v>600000</v>
      </c>
      <c r="N1586" s="9">
        <v>600000</v>
      </c>
      <c r="O1586" s="9">
        <v>600000</v>
      </c>
      <c r="P1586" s="9">
        <v>600000</v>
      </c>
      <c r="Q1586" s="9">
        <v>600000</v>
      </c>
      <c r="S1586" s="9">
        <v>600000</v>
      </c>
    </row>
    <row r="1587" spans="2:19" ht="12.75">
      <c r="B1587" s="40">
        <v>6930.3</v>
      </c>
      <c r="C1587" s="36">
        <v>591203</v>
      </c>
      <c r="E1587" s="3" t="s">
        <v>1917</v>
      </c>
      <c r="K1587" s="10"/>
      <c r="M1587" s="9">
        <v>500000</v>
      </c>
      <c r="N1587" s="9">
        <v>500000</v>
      </c>
      <c r="O1587" s="9">
        <v>500000</v>
      </c>
      <c r="P1587" s="9">
        <v>500000</v>
      </c>
      <c r="Q1587" s="9">
        <v>500000</v>
      </c>
      <c r="S1587" s="9">
        <v>500000</v>
      </c>
    </row>
    <row r="1588" spans="2:19" ht="12.75">
      <c r="B1588" s="11">
        <v>6930.31</v>
      </c>
      <c r="C1588" s="36">
        <v>591204</v>
      </c>
      <c r="E1588" s="3" t="s">
        <v>1918</v>
      </c>
      <c r="K1588" s="10"/>
      <c r="O1588" s="9">
        <v>105000</v>
      </c>
      <c r="P1588" s="9">
        <v>105000</v>
      </c>
      <c r="Q1588" s="9">
        <v>105000</v>
      </c>
      <c r="S1588" s="8">
        <v>105000</v>
      </c>
    </row>
    <row r="1589" spans="1:17" ht="12.75">
      <c r="A1589" s="83"/>
      <c r="B1589" s="40">
        <v>6930.6</v>
      </c>
      <c r="C1589" s="36">
        <v>591206</v>
      </c>
      <c r="E1589" s="3" t="s">
        <v>1923</v>
      </c>
      <c r="K1589" s="10"/>
      <c r="O1589" s="9">
        <v>45000</v>
      </c>
      <c r="P1589" s="9">
        <v>45000</v>
      </c>
      <c r="Q1589" s="9">
        <v>45000</v>
      </c>
    </row>
    <row r="1590" spans="2:17" ht="12.75">
      <c r="B1590" s="40">
        <v>6930.4</v>
      </c>
      <c r="C1590" s="36">
        <v>591207</v>
      </c>
      <c r="E1590" s="3" t="s">
        <v>1922</v>
      </c>
      <c r="K1590" s="10"/>
      <c r="M1590" s="9">
        <v>16000</v>
      </c>
      <c r="N1590" s="9">
        <v>15000</v>
      </c>
      <c r="O1590" s="9">
        <v>15000</v>
      </c>
      <c r="P1590" s="9">
        <v>15000</v>
      </c>
      <c r="Q1590" s="9">
        <v>15000</v>
      </c>
    </row>
    <row r="1591" spans="2:19" ht="12.75">
      <c r="B1591" s="40">
        <v>6926.1</v>
      </c>
      <c r="C1591" s="36">
        <v>591209</v>
      </c>
      <c r="E1591" s="3" t="s">
        <v>907</v>
      </c>
      <c r="K1591" s="10"/>
      <c r="L1591" s="9">
        <v>245000</v>
      </c>
      <c r="M1591" s="9">
        <v>245000</v>
      </c>
      <c r="N1591" s="9">
        <v>220000</v>
      </c>
      <c r="O1591" s="9">
        <v>220000</v>
      </c>
      <c r="P1591" s="9">
        <v>220000</v>
      </c>
      <c r="Q1591" s="9">
        <v>220000</v>
      </c>
      <c r="S1591" s="8">
        <v>220000</v>
      </c>
    </row>
    <row r="1592" spans="1:15" ht="12.75" hidden="1">
      <c r="A1592" s="83"/>
      <c r="B1592" s="36">
        <v>6947</v>
      </c>
      <c r="E1592" s="3" t="s">
        <v>1886</v>
      </c>
      <c r="F1592" s="19">
        <v>0</v>
      </c>
      <c r="G1592" s="19">
        <v>0</v>
      </c>
      <c r="H1592" s="19">
        <v>55000</v>
      </c>
      <c r="I1592" s="8">
        <v>25000</v>
      </c>
      <c r="J1592" s="9">
        <v>542000</v>
      </c>
      <c r="K1592" s="10">
        <v>563173</v>
      </c>
      <c r="L1592" s="9">
        <v>0</v>
      </c>
      <c r="M1592" s="9">
        <v>0</v>
      </c>
      <c r="N1592" s="9">
        <v>0</v>
      </c>
      <c r="O1592" s="9">
        <v>0</v>
      </c>
    </row>
    <row r="1593" spans="1:17" ht="12.75">
      <c r="A1593" s="83"/>
      <c r="B1593" s="40">
        <v>6930.7</v>
      </c>
      <c r="C1593" s="36">
        <v>591210</v>
      </c>
      <c r="E1593" s="3" t="s">
        <v>1924</v>
      </c>
      <c r="K1593" s="10"/>
      <c r="O1593" s="9">
        <v>40000</v>
      </c>
      <c r="P1593" s="9">
        <v>40000</v>
      </c>
      <c r="Q1593" s="9">
        <v>40000</v>
      </c>
    </row>
    <row r="1594" spans="1:15" ht="12.75">
      <c r="A1594" s="83"/>
      <c r="B1594" s="40">
        <v>6930.9</v>
      </c>
      <c r="C1594" s="36">
        <v>591211</v>
      </c>
      <c r="E1594" s="3" t="s">
        <v>1556</v>
      </c>
      <c r="K1594" s="10"/>
      <c r="O1594" s="9">
        <v>0</v>
      </c>
    </row>
    <row r="1595" spans="1:17" ht="12.75">
      <c r="A1595" s="83"/>
      <c r="B1595" s="40">
        <v>6930.8</v>
      </c>
      <c r="C1595" s="36">
        <v>591212</v>
      </c>
      <c r="E1595" s="3" t="s">
        <v>1557</v>
      </c>
      <c r="K1595" s="10"/>
      <c r="O1595" s="9">
        <v>165000</v>
      </c>
      <c r="P1595" s="9">
        <v>165000</v>
      </c>
      <c r="Q1595" s="9">
        <v>165000</v>
      </c>
    </row>
    <row r="1596" spans="2:19" ht="12.75">
      <c r="B1596" s="40">
        <v>6930.5</v>
      </c>
      <c r="C1596" s="36">
        <v>591213</v>
      </c>
      <c r="E1596" s="3" t="s">
        <v>1921</v>
      </c>
      <c r="K1596" s="10"/>
      <c r="O1596" s="9">
        <v>0</v>
      </c>
      <c r="Q1596" s="9">
        <v>285000</v>
      </c>
      <c r="S1596" s="8">
        <v>285000</v>
      </c>
    </row>
    <row r="1597" spans="1:17" ht="12.75">
      <c r="A1597" s="83"/>
      <c r="B1597" s="40">
        <v>6948.5</v>
      </c>
      <c r="C1597" s="36">
        <v>591214</v>
      </c>
      <c r="E1597" s="3" t="s">
        <v>1555</v>
      </c>
      <c r="K1597" s="10"/>
      <c r="O1597" s="9">
        <v>60000</v>
      </c>
      <c r="P1597" s="9">
        <v>60000</v>
      </c>
      <c r="Q1597" s="9">
        <v>60000</v>
      </c>
    </row>
    <row r="1598" spans="2:15" ht="12.75">
      <c r="B1598" s="40">
        <v>6926.2</v>
      </c>
      <c r="E1598" s="3" t="s">
        <v>905</v>
      </c>
      <c r="K1598" s="10"/>
      <c r="L1598" s="9">
        <v>165000</v>
      </c>
      <c r="M1598" s="9">
        <v>0</v>
      </c>
      <c r="N1598" s="9">
        <v>0</v>
      </c>
      <c r="O1598" s="9">
        <v>0</v>
      </c>
    </row>
    <row r="1599" spans="5:19" ht="12.75">
      <c r="E1599" s="20" t="s">
        <v>1340</v>
      </c>
      <c r="F1599" s="21">
        <f>SUM(F1579:F1598)</f>
        <v>2364949</v>
      </c>
      <c r="G1599" s="21">
        <f>SUM(G1579:G1592)</f>
        <v>1780407</v>
      </c>
      <c r="H1599" s="21">
        <f aca="true" t="shared" si="360" ref="H1599:N1599">SUM(H1579:H1598)</f>
        <v>1611400</v>
      </c>
      <c r="I1599" s="22">
        <f t="shared" si="360"/>
        <v>1348200</v>
      </c>
      <c r="J1599" s="23">
        <f t="shared" si="360"/>
        <v>1832000</v>
      </c>
      <c r="K1599" s="23">
        <f t="shared" si="360"/>
        <v>1853173</v>
      </c>
      <c r="L1599" s="23">
        <f t="shared" si="360"/>
        <v>2658170</v>
      </c>
      <c r="M1599" s="23">
        <f t="shared" si="360"/>
        <v>2944170</v>
      </c>
      <c r="N1599" s="23">
        <f t="shared" si="360"/>
        <v>2798170</v>
      </c>
      <c r="O1599" s="23">
        <f>SUM(O1579:O1598)</f>
        <v>3243170</v>
      </c>
      <c r="P1599" s="23">
        <f>SUM(P1579:P1598)</f>
        <v>3243170</v>
      </c>
      <c r="Q1599" s="23">
        <f>SUM(Q1579:Q1598)</f>
        <v>3528170</v>
      </c>
      <c r="R1599" s="23">
        <f>SUM(R1579:R1598)</f>
        <v>0</v>
      </c>
      <c r="S1599" s="23">
        <f>SUM(S1579:S1598)</f>
        <v>2800000</v>
      </c>
    </row>
    <row r="1600" spans="3:4" ht="12.75">
      <c r="C1600" s="196">
        <v>17512</v>
      </c>
      <c r="D1600" s="196"/>
    </row>
    <row r="1601" spans="1:18" ht="12.75" hidden="1">
      <c r="A1601" s="3" t="s">
        <v>1888</v>
      </c>
      <c r="B1601" s="11" t="s">
        <v>1889</v>
      </c>
      <c r="E1601" s="3" t="s">
        <v>1341</v>
      </c>
      <c r="F1601" s="19">
        <v>108850</v>
      </c>
      <c r="G1601" s="19">
        <v>39650</v>
      </c>
      <c r="H1601" s="19">
        <v>12200</v>
      </c>
      <c r="I1601" s="8">
        <v>0</v>
      </c>
      <c r="K1601" s="10">
        <v>0</v>
      </c>
      <c r="L1601" s="9">
        <v>0</v>
      </c>
      <c r="M1601" s="9">
        <v>0</v>
      </c>
      <c r="N1601" s="9">
        <v>0</v>
      </c>
      <c r="O1601" s="9">
        <v>0</v>
      </c>
      <c r="P1601" s="9">
        <v>0</v>
      </c>
      <c r="Q1601" s="9">
        <v>0</v>
      </c>
      <c r="R1601" s="9">
        <v>0</v>
      </c>
    </row>
    <row r="1602" spans="1:19" ht="12.75">
      <c r="A1602" s="62">
        <f>5921-715</f>
        <v>5206</v>
      </c>
      <c r="B1602" s="36">
        <v>6927</v>
      </c>
      <c r="C1602" s="36">
        <v>591001</v>
      </c>
      <c r="E1602" s="3" t="s">
        <v>1890</v>
      </c>
      <c r="F1602" s="19">
        <v>952955</v>
      </c>
      <c r="G1602" s="19">
        <v>912080</v>
      </c>
      <c r="H1602" s="19">
        <v>857580</v>
      </c>
      <c r="I1602" s="8">
        <v>803080</v>
      </c>
      <c r="J1602" s="9">
        <v>757845</v>
      </c>
      <c r="K1602" s="10">
        <v>711520</v>
      </c>
      <c r="L1602" s="9">
        <v>663832.5</v>
      </c>
      <c r="M1602" s="9">
        <v>615873</v>
      </c>
      <c r="N1602" s="9">
        <v>555922.5</v>
      </c>
      <c r="O1602" s="9">
        <v>498698</v>
      </c>
      <c r="P1602" s="9">
        <v>498698</v>
      </c>
      <c r="Q1602" s="9">
        <v>438748</v>
      </c>
      <c r="S1602" s="8">
        <v>438748</v>
      </c>
    </row>
    <row r="1603" spans="2:19" ht="12.75">
      <c r="B1603" s="36">
        <v>6949</v>
      </c>
      <c r="C1603" s="36">
        <v>591002</v>
      </c>
      <c r="E1603" s="3" t="s">
        <v>1887</v>
      </c>
      <c r="F1603" s="19">
        <v>0</v>
      </c>
      <c r="H1603" s="19">
        <v>0</v>
      </c>
      <c r="I1603" s="8">
        <v>117453.83</v>
      </c>
      <c r="J1603" s="9">
        <v>74700</v>
      </c>
      <c r="K1603" s="10">
        <v>66450</v>
      </c>
      <c r="L1603" s="9">
        <v>57950</v>
      </c>
      <c r="M1603" s="9">
        <v>49400</v>
      </c>
      <c r="N1603" s="9">
        <v>40700</v>
      </c>
      <c r="O1603" s="9">
        <v>31800</v>
      </c>
      <c r="P1603" s="9">
        <v>31800</v>
      </c>
      <c r="Q1603" s="9">
        <v>22800</v>
      </c>
      <c r="S1603" s="8">
        <v>-700000</v>
      </c>
    </row>
    <row r="1604" spans="1:17" ht="12.75">
      <c r="A1604" s="62"/>
      <c r="B1604" s="40">
        <v>6931.1</v>
      </c>
      <c r="C1604" s="36">
        <v>591201</v>
      </c>
      <c r="E1604" s="3" t="s">
        <v>1345</v>
      </c>
      <c r="K1604" s="10"/>
      <c r="L1604" s="9">
        <v>73093.75</v>
      </c>
      <c r="M1604" s="9">
        <v>59315</v>
      </c>
      <c r="N1604" s="9">
        <v>49340</v>
      </c>
      <c r="O1604" s="9">
        <v>41100</v>
      </c>
      <c r="P1604" s="9">
        <v>41100</v>
      </c>
      <c r="Q1604" s="9">
        <v>32100</v>
      </c>
    </row>
    <row r="1605" spans="1:19" ht="12.75">
      <c r="A1605" s="62"/>
      <c r="B1605" s="36">
        <v>6931</v>
      </c>
      <c r="C1605" s="36">
        <v>591202</v>
      </c>
      <c r="E1605" s="3" t="s">
        <v>1344</v>
      </c>
      <c r="K1605" s="10"/>
      <c r="L1605" s="9">
        <v>681915</v>
      </c>
      <c r="M1605" s="9">
        <v>431610</v>
      </c>
      <c r="N1605" s="9">
        <v>413610</v>
      </c>
      <c r="O1605" s="9">
        <v>395610</v>
      </c>
      <c r="P1605" s="9">
        <v>395610</v>
      </c>
      <c r="Q1605" s="9">
        <v>377610</v>
      </c>
      <c r="S1605" s="8">
        <v>377610</v>
      </c>
    </row>
    <row r="1606" spans="1:19" ht="12.75">
      <c r="A1606" s="62"/>
      <c r="B1606" s="40">
        <v>6931.3</v>
      </c>
      <c r="C1606" s="36">
        <v>591203</v>
      </c>
      <c r="E1606" s="3" t="s">
        <v>1919</v>
      </c>
      <c r="K1606" s="10"/>
      <c r="M1606" s="9">
        <v>406750</v>
      </c>
      <c r="N1606" s="9">
        <v>391750</v>
      </c>
      <c r="O1606" s="9">
        <v>376750</v>
      </c>
      <c r="P1606" s="9">
        <v>376750</v>
      </c>
      <c r="Q1606" s="9">
        <v>361750</v>
      </c>
      <c r="S1606" s="8">
        <v>361750</v>
      </c>
    </row>
    <row r="1607" spans="1:19" ht="12.75">
      <c r="A1607" s="62"/>
      <c r="B1607" s="11">
        <v>6931.31</v>
      </c>
      <c r="C1607" s="36">
        <v>591204</v>
      </c>
      <c r="E1607" s="3" t="s">
        <v>1920</v>
      </c>
      <c r="K1607" s="10"/>
      <c r="O1607" s="9">
        <v>86825</v>
      </c>
      <c r="P1607" s="9">
        <v>86825</v>
      </c>
      <c r="Q1607" s="9">
        <v>80525</v>
      </c>
      <c r="S1607" s="8">
        <v>80525</v>
      </c>
    </row>
    <row r="1608" spans="1:17" ht="12.75">
      <c r="A1608" s="62"/>
      <c r="B1608" s="40">
        <v>6931.6</v>
      </c>
      <c r="C1608" s="36">
        <v>591206</v>
      </c>
      <c r="E1608" s="3" t="s">
        <v>1927</v>
      </c>
      <c r="K1608" s="10"/>
      <c r="O1608" s="9">
        <v>33490</v>
      </c>
      <c r="P1608" s="9">
        <v>33490</v>
      </c>
      <c r="Q1608" s="9">
        <v>30790</v>
      </c>
    </row>
    <row r="1609" spans="1:17" ht="12.75">
      <c r="A1609" s="62"/>
      <c r="B1609" s="40">
        <v>6931.4</v>
      </c>
      <c r="C1609" s="36">
        <v>591207</v>
      </c>
      <c r="E1609" s="3" t="s">
        <v>1926</v>
      </c>
      <c r="K1609" s="10"/>
      <c r="M1609" s="9">
        <v>4417</v>
      </c>
      <c r="N1609" s="9">
        <v>3937.5</v>
      </c>
      <c r="O1609" s="9">
        <v>3488</v>
      </c>
      <c r="P1609" s="9">
        <v>3488</v>
      </c>
      <c r="Q1609" s="9">
        <v>3038</v>
      </c>
    </row>
    <row r="1610" spans="1:19" ht="12.75">
      <c r="A1610" s="62"/>
      <c r="B1610" s="40">
        <v>6927.1</v>
      </c>
      <c r="C1610" s="36">
        <v>591209</v>
      </c>
      <c r="E1610" s="3" t="s">
        <v>1342</v>
      </c>
      <c r="K1610" s="10"/>
      <c r="L1610" s="9">
        <v>108700</v>
      </c>
      <c r="M1610" s="9">
        <f>375+62700</f>
        <v>63075</v>
      </c>
      <c r="N1610" s="9">
        <v>56100</v>
      </c>
      <c r="O1610" s="9">
        <v>49500</v>
      </c>
      <c r="P1610" s="9">
        <v>49500</v>
      </c>
      <c r="Q1610" s="9">
        <v>42900</v>
      </c>
      <c r="S1610" s="8">
        <v>42900</v>
      </c>
    </row>
    <row r="1611" spans="1:17" ht="12.75">
      <c r="A1611" s="62"/>
      <c r="B1611" s="40">
        <v>6931.7</v>
      </c>
      <c r="C1611" s="36">
        <v>591210</v>
      </c>
      <c r="E1611" s="3" t="s">
        <v>1928</v>
      </c>
      <c r="K1611" s="10"/>
      <c r="O1611" s="9">
        <v>8975</v>
      </c>
      <c r="P1611" s="9">
        <v>8975</v>
      </c>
      <c r="Q1611" s="9">
        <v>6575</v>
      </c>
    </row>
    <row r="1612" spans="1:17" ht="12.75">
      <c r="A1612" s="62"/>
      <c r="B1612" s="40">
        <v>6931.9</v>
      </c>
      <c r="C1612" s="36">
        <v>591211</v>
      </c>
      <c r="E1612" s="3" t="s">
        <v>1558</v>
      </c>
      <c r="K1612" s="10"/>
      <c r="O1612" s="9">
        <v>30000</v>
      </c>
      <c r="P1612" s="9">
        <v>30000</v>
      </c>
      <c r="Q1612" s="9">
        <v>25000</v>
      </c>
    </row>
    <row r="1613" spans="1:17" ht="12.75">
      <c r="A1613" s="62"/>
      <c r="B1613" s="40">
        <v>6931.8</v>
      </c>
      <c r="C1613" s="36">
        <v>591212</v>
      </c>
      <c r="E1613" s="3" t="s">
        <v>1929</v>
      </c>
      <c r="K1613" s="10"/>
      <c r="O1613" s="9">
        <v>42525</v>
      </c>
      <c r="P1613" s="9">
        <v>42525</v>
      </c>
      <c r="Q1613" s="9">
        <v>32000</v>
      </c>
    </row>
    <row r="1614" spans="1:19" ht="12.75">
      <c r="A1614" s="62"/>
      <c r="B1614" s="40">
        <v>6931.5</v>
      </c>
      <c r="C1614" s="36">
        <v>591213</v>
      </c>
      <c r="E1614" s="3" t="s">
        <v>1925</v>
      </c>
      <c r="K1614" s="10"/>
      <c r="O1614" s="9">
        <f>268000-120000</f>
        <v>148000</v>
      </c>
      <c r="P1614" s="9">
        <v>148000</v>
      </c>
      <c r="Q1614" s="9">
        <v>285000</v>
      </c>
      <c r="S1614" s="8">
        <v>285000</v>
      </c>
    </row>
    <row r="1615" spans="2:17" ht="12.75">
      <c r="B1615" s="40">
        <v>6949.5</v>
      </c>
      <c r="C1615" s="36">
        <v>591214</v>
      </c>
      <c r="E1615" s="3" t="s">
        <v>1559</v>
      </c>
      <c r="J1615" s="10"/>
      <c r="K1615" s="10"/>
      <c r="O1615" s="9">
        <v>15750</v>
      </c>
      <c r="P1615" s="9">
        <v>15750</v>
      </c>
      <c r="Q1615" s="9">
        <v>12000</v>
      </c>
    </row>
    <row r="1616" spans="1:17" ht="12.75">
      <c r="A1616" s="3" t="s">
        <v>1891</v>
      </c>
      <c r="B1616" s="36">
        <v>6945</v>
      </c>
      <c r="C1616" s="36">
        <v>592000</v>
      </c>
      <c r="E1616" s="3" t="s">
        <v>1892</v>
      </c>
      <c r="F1616" s="19">
        <v>449</v>
      </c>
      <c r="G1616" s="19">
        <v>0</v>
      </c>
      <c r="H1616" s="19">
        <v>300.55</v>
      </c>
      <c r="I1616" s="8">
        <v>0</v>
      </c>
      <c r="J1616" s="10">
        <v>3670.55</v>
      </c>
      <c r="K1616" s="10">
        <v>956.44</v>
      </c>
      <c r="L1616" s="9">
        <v>0</v>
      </c>
      <c r="M1616" s="9">
        <v>201.64</v>
      </c>
      <c r="N1616" s="9">
        <v>369.77</v>
      </c>
      <c r="O1616" s="9">
        <v>2500</v>
      </c>
      <c r="P1616" s="9">
        <v>2500</v>
      </c>
      <c r="Q1616" s="9">
        <v>2500</v>
      </c>
    </row>
    <row r="1617" spans="1:15" ht="12.75" hidden="1">
      <c r="A1617" s="62"/>
      <c r="B1617" s="40">
        <v>6927.2</v>
      </c>
      <c r="E1617" s="3" t="s">
        <v>1343</v>
      </c>
      <c r="K1617" s="10"/>
      <c r="L1617" s="9">
        <v>3506.25</v>
      </c>
      <c r="M1617" s="9">
        <v>0</v>
      </c>
      <c r="N1617" s="9">
        <v>0</v>
      </c>
      <c r="O1617" s="9">
        <v>0</v>
      </c>
    </row>
    <row r="1618" spans="2:14" ht="12.75" hidden="1">
      <c r="B1618" s="36">
        <v>6950</v>
      </c>
      <c r="E1618" s="3" t="s">
        <v>1886</v>
      </c>
      <c r="F1618" s="19">
        <v>0</v>
      </c>
      <c r="G1618" s="19">
        <v>0</v>
      </c>
      <c r="H1618" s="19">
        <v>33543.15</v>
      </c>
      <c r="I1618" s="8">
        <v>205874.28</v>
      </c>
      <c r="J1618" s="9">
        <v>121769.5</v>
      </c>
      <c r="K1618" s="10">
        <v>178148.75</v>
      </c>
      <c r="L1618" s="9">
        <v>0</v>
      </c>
      <c r="M1618" s="9">
        <v>0</v>
      </c>
      <c r="N1618" s="9">
        <v>0</v>
      </c>
    </row>
    <row r="1619" spans="2:11" ht="12.75">
      <c r="B1619" s="36"/>
      <c r="C1619" s="196">
        <v>17532</v>
      </c>
      <c r="D1619" s="196"/>
      <c r="K1619" s="10"/>
    </row>
    <row r="1620" spans="2:17" ht="12.75">
      <c r="B1620" s="36">
        <v>6952</v>
      </c>
      <c r="C1620" s="36">
        <v>593000</v>
      </c>
      <c r="E1620" s="3" t="s">
        <v>2855</v>
      </c>
      <c r="K1620" s="10"/>
      <c r="O1620" s="9">
        <v>90000</v>
      </c>
      <c r="P1620" s="9">
        <v>90000</v>
      </c>
      <c r="Q1620" s="9">
        <v>0</v>
      </c>
    </row>
    <row r="1621" spans="2:11" ht="12.75">
      <c r="B1621" s="36"/>
      <c r="C1621" s="196">
        <v>17522</v>
      </c>
      <c r="D1621" s="196"/>
      <c r="K1621" s="10"/>
    </row>
    <row r="1622" spans="2:17" ht="12.75">
      <c r="B1622" s="36">
        <v>6951</v>
      </c>
      <c r="C1622" s="36">
        <v>592500</v>
      </c>
      <c r="E1622" s="3" t="s">
        <v>1346</v>
      </c>
      <c r="K1622" s="10"/>
      <c r="L1622" s="9">
        <v>0</v>
      </c>
      <c r="N1622" s="9">
        <v>18768.74</v>
      </c>
      <c r="O1622" s="9">
        <v>25000</v>
      </c>
      <c r="P1622" s="9">
        <v>25000</v>
      </c>
      <c r="Q1622" s="9">
        <v>0</v>
      </c>
    </row>
    <row r="1623" spans="5:19" ht="12.75">
      <c r="E1623" s="20" t="s">
        <v>1347</v>
      </c>
      <c r="F1623" s="21">
        <f aca="true" t="shared" si="361" ref="F1623:K1623">SUM(F1601:F1618)</f>
        <v>1062254</v>
      </c>
      <c r="G1623" s="21">
        <f t="shared" si="361"/>
        <v>951730</v>
      </c>
      <c r="H1623" s="21">
        <f t="shared" si="361"/>
        <v>903623.7000000001</v>
      </c>
      <c r="I1623" s="22">
        <f t="shared" si="361"/>
        <v>1126408.1099999999</v>
      </c>
      <c r="J1623" s="23">
        <f t="shared" si="361"/>
        <v>957985.05</v>
      </c>
      <c r="K1623" s="23">
        <f t="shared" si="361"/>
        <v>957075.19</v>
      </c>
      <c r="L1623" s="7">
        <f aca="true" t="shared" si="362" ref="L1623:S1623">SUM(L1602:L1622)</f>
        <v>1588997.5</v>
      </c>
      <c r="M1623" s="7">
        <f t="shared" si="362"/>
        <v>1630641.64</v>
      </c>
      <c r="N1623" s="7">
        <f t="shared" si="362"/>
        <v>1530498.51</v>
      </c>
      <c r="O1623" s="7">
        <f t="shared" si="362"/>
        <v>1880011</v>
      </c>
      <c r="P1623" s="7">
        <f t="shared" si="362"/>
        <v>1880011</v>
      </c>
      <c r="Q1623" s="7">
        <f t="shared" si="362"/>
        <v>1753336</v>
      </c>
      <c r="R1623" s="7">
        <f t="shared" si="362"/>
        <v>0</v>
      </c>
      <c r="S1623" s="7">
        <f t="shared" si="362"/>
        <v>886533</v>
      </c>
    </row>
    <row r="1624" ht="7.5" customHeight="1">
      <c r="A1624" s="3" t="s">
        <v>1893</v>
      </c>
    </row>
    <row r="1625" spans="5:19" ht="12.75">
      <c r="E1625" s="38" t="s">
        <v>1894</v>
      </c>
      <c r="F1625" s="56">
        <f aca="true" t="shared" si="363" ref="F1625:K1625">SUM(F1579:F1624)/2</f>
        <v>3427203</v>
      </c>
      <c r="G1625" s="56">
        <f t="shared" si="363"/>
        <v>2732137</v>
      </c>
      <c r="H1625" s="56">
        <f t="shared" si="363"/>
        <v>2515023.6999999997</v>
      </c>
      <c r="I1625" s="57">
        <f t="shared" si="363"/>
        <v>2474608.11</v>
      </c>
      <c r="J1625" s="28">
        <f t="shared" si="363"/>
        <v>2789985.05</v>
      </c>
      <c r="K1625" s="28">
        <f t="shared" si="363"/>
        <v>2810248.1900000004</v>
      </c>
      <c r="L1625" s="32">
        <f aca="true" t="shared" si="364" ref="L1625:S1625">SUM(L1599+L1623)</f>
        <v>4247167.5</v>
      </c>
      <c r="M1625" s="32">
        <f t="shared" si="364"/>
        <v>4574811.64</v>
      </c>
      <c r="N1625" s="32">
        <f t="shared" si="364"/>
        <v>4328668.51</v>
      </c>
      <c r="O1625" s="32">
        <f t="shared" si="364"/>
        <v>5123181</v>
      </c>
      <c r="P1625" s="32">
        <f>SUM(P1599+P1623)</f>
        <v>5123181</v>
      </c>
      <c r="Q1625" s="32">
        <f t="shared" si="364"/>
        <v>5281506</v>
      </c>
      <c r="R1625" s="32">
        <f t="shared" si="364"/>
        <v>0</v>
      </c>
      <c r="S1625" s="32">
        <f t="shared" si="364"/>
        <v>3686533</v>
      </c>
    </row>
    <row r="1626" spans="2:10" ht="14.25">
      <c r="B1626" s="52"/>
      <c r="C1626" s="197"/>
      <c r="D1626" s="197"/>
      <c r="J1626" s="10"/>
    </row>
    <row r="1627" spans="3:5" ht="12.75">
      <c r="C1627" s="196" t="s">
        <v>2180</v>
      </c>
      <c r="D1627" s="196"/>
      <c r="E1627" s="163" t="s">
        <v>1895</v>
      </c>
    </row>
    <row r="1628" spans="1:18" ht="12.75" hidden="1">
      <c r="A1628" s="3" t="s">
        <v>1896</v>
      </c>
      <c r="B1628" s="11" t="s">
        <v>1897</v>
      </c>
      <c r="E1628" s="3" t="s">
        <v>1898</v>
      </c>
      <c r="F1628" s="19">
        <v>0</v>
      </c>
      <c r="H1628" s="19">
        <v>0</v>
      </c>
      <c r="I1628" s="8">
        <v>0</v>
      </c>
      <c r="J1628" s="9">
        <f>SUM(H1628:I1628)</f>
        <v>0</v>
      </c>
      <c r="K1628" s="10"/>
      <c r="L1628" s="9">
        <v>0</v>
      </c>
      <c r="N1628" s="10" t="s">
        <v>2180</v>
      </c>
      <c r="O1628" s="10">
        <f>2200000-111600-60000+150000+7200</f>
        <v>2185600</v>
      </c>
      <c r="P1628" s="10"/>
      <c r="Q1628" s="10"/>
      <c r="R1628" s="10"/>
    </row>
    <row r="1629" spans="2:13" ht="12.75" hidden="1">
      <c r="B1629" s="50" t="s">
        <v>1602</v>
      </c>
      <c r="C1629" s="49"/>
      <c r="D1629" s="49"/>
      <c r="E1629" s="3" t="s">
        <v>1899</v>
      </c>
      <c r="F1629" s="19">
        <v>86225</v>
      </c>
      <c r="G1629" s="19">
        <v>679.77</v>
      </c>
      <c r="H1629" s="19">
        <v>613038.9</v>
      </c>
      <c r="I1629" s="8">
        <v>736102.04</v>
      </c>
      <c r="J1629" s="9">
        <v>352568.15</v>
      </c>
      <c r="K1629" s="8">
        <v>122644.72</v>
      </c>
      <c r="L1629" s="9">
        <v>870123.55</v>
      </c>
      <c r="M1629" s="9">
        <v>20000.62</v>
      </c>
    </row>
    <row r="1630" spans="2:10" ht="12.75" hidden="1">
      <c r="B1630" s="50" t="s">
        <v>1603</v>
      </c>
      <c r="C1630" s="49"/>
      <c r="D1630" s="49"/>
      <c r="E1630" s="3" t="s">
        <v>1900</v>
      </c>
      <c r="F1630" s="19">
        <v>0</v>
      </c>
      <c r="I1630" s="8">
        <v>0</v>
      </c>
      <c r="J1630" s="9">
        <v>99000</v>
      </c>
    </row>
    <row r="1631" spans="2:9" ht="12.75" hidden="1">
      <c r="B1631" s="50" t="s">
        <v>1604</v>
      </c>
      <c r="C1631" s="49"/>
      <c r="D1631" s="49"/>
      <c r="E1631" s="3" t="s">
        <v>2825</v>
      </c>
      <c r="I1631" s="8">
        <v>24750</v>
      </c>
    </row>
    <row r="1632" spans="2:13" ht="12.75" hidden="1">
      <c r="B1632" s="50" t="s">
        <v>1605</v>
      </c>
      <c r="C1632" s="49"/>
      <c r="D1632" s="49"/>
      <c r="E1632" s="3" t="s">
        <v>1901</v>
      </c>
      <c r="F1632" s="19">
        <v>59289</v>
      </c>
      <c r="G1632" s="19">
        <v>3138.49</v>
      </c>
      <c r="H1632" s="19">
        <v>61388.93</v>
      </c>
      <c r="I1632" s="8">
        <v>141403.74</v>
      </c>
      <c r="J1632" s="9">
        <v>0</v>
      </c>
      <c r="M1632" s="9">
        <v>2377</v>
      </c>
    </row>
    <row r="1633" spans="1:11" ht="12.75" hidden="1">
      <c r="A1633" s="3" t="s">
        <v>1936</v>
      </c>
      <c r="B1633" s="50" t="s">
        <v>1937</v>
      </c>
      <c r="C1633" s="49"/>
      <c r="D1633" s="49"/>
      <c r="E1633" s="3" t="s">
        <v>1938</v>
      </c>
      <c r="F1633" s="19">
        <v>201978</v>
      </c>
      <c r="G1633" s="19">
        <v>1235319.22</v>
      </c>
      <c r="H1633" s="19">
        <v>882207.64</v>
      </c>
      <c r="I1633" s="8">
        <v>232037.39</v>
      </c>
      <c r="J1633" s="9">
        <v>18966.45</v>
      </c>
      <c r="K1633" s="8">
        <v>23112.12</v>
      </c>
    </row>
    <row r="1634" spans="2:12" ht="12.75" hidden="1">
      <c r="B1634" s="50" t="s">
        <v>1606</v>
      </c>
      <c r="C1634" s="49"/>
      <c r="D1634" s="49"/>
      <c r="E1634" s="3" t="s">
        <v>1951</v>
      </c>
      <c r="F1634" s="19">
        <v>370242</v>
      </c>
      <c r="G1634" s="19">
        <v>295641.31</v>
      </c>
      <c r="H1634" s="19">
        <v>363087.36</v>
      </c>
      <c r="I1634" s="8">
        <v>331953</v>
      </c>
      <c r="J1634" s="9">
        <v>136770.44</v>
      </c>
      <c r="K1634" s="10">
        <v>375425.2</v>
      </c>
      <c r="L1634" s="9">
        <v>5000</v>
      </c>
    </row>
    <row r="1635" spans="2:10" ht="12.75" hidden="1">
      <c r="B1635" s="50" t="s">
        <v>1607</v>
      </c>
      <c r="C1635" s="49"/>
      <c r="D1635" s="49"/>
      <c r="E1635" s="3" t="s">
        <v>1952</v>
      </c>
      <c r="F1635" s="19">
        <v>68997</v>
      </c>
      <c r="I1635" s="8">
        <v>0</v>
      </c>
      <c r="J1635" s="9">
        <v>0</v>
      </c>
    </row>
    <row r="1636" spans="2:10" ht="12.75" hidden="1">
      <c r="B1636" s="50" t="s">
        <v>1608</v>
      </c>
      <c r="C1636" s="49"/>
      <c r="D1636" s="49"/>
      <c r="E1636" s="3" t="s">
        <v>1953</v>
      </c>
      <c r="F1636" s="19">
        <v>88745</v>
      </c>
      <c r="G1636" s="19">
        <v>79817.16</v>
      </c>
      <c r="I1636" s="8">
        <v>150039.6</v>
      </c>
      <c r="J1636" s="9">
        <v>0</v>
      </c>
    </row>
    <row r="1637" spans="2:10" ht="12.75" hidden="1">
      <c r="B1637" s="50" t="s">
        <v>1609</v>
      </c>
      <c r="C1637" s="49"/>
      <c r="D1637" s="49"/>
      <c r="E1637" s="3" t="s">
        <v>1954</v>
      </c>
      <c r="F1637" s="19">
        <v>14383</v>
      </c>
      <c r="G1637" s="19">
        <v>267.95</v>
      </c>
      <c r="I1637" s="8">
        <v>2818</v>
      </c>
      <c r="J1637" s="9">
        <v>0</v>
      </c>
    </row>
    <row r="1638" spans="2:10" ht="12.75" hidden="1">
      <c r="B1638" s="50" t="s">
        <v>1610</v>
      </c>
      <c r="C1638" s="49"/>
      <c r="D1638" s="49"/>
      <c r="E1638" s="3" t="s">
        <v>1955</v>
      </c>
      <c r="F1638" s="54">
        <v>-342</v>
      </c>
      <c r="H1638" s="19">
        <v>21505.24</v>
      </c>
      <c r="I1638" s="8">
        <v>0</v>
      </c>
      <c r="J1638" s="9">
        <v>0</v>
      </c>
    </row>
    <row r="1639" spans="2:10" ht="12.75" hidden="1">
      <c r="B1639" s="50" t="s">
        <v>1611</v>
      </c>
      <c r="C1639" s="49"/>
      <c r="D1639" s="49"/>
      <c r="E1639" s="3" t="s">
        <v>1956</v>
      </c>
      <c r="F1639" s="19">
        <v>0</v>
      </c>
      <c r="G1639" s="19">
        <v>31997</v>
      </c>
      <c r="H1639" s="19">
        <v>58359.2</v>
      </c>
      <c r="I1639" s="8">
        <v>0</v>
      </c>
      <c r="J1639" s="9">
        <v>0</v>
      </c>
    </row>
    <row r="1640" spans="2:13" ht="12.75" hidden="1">
      <c r="B1640" s="50" t="s">
        <v>1612</v>
      </c>
      <c r="C1640" s="49"/>
      <c r="D1640" s="49"/>
      <c r="E1640" s="3" t="s">
        <v>1957</v>
      </c>
      <c r="F1640" s="19">
        <v>93725</v>
      </c>
      <c r="G1640" s="19">
        <v>96564.21</v>
      </c>
      <c r="H1640" s="19">
        <v>65175.78</v>
      </c>
      <c r="I1640" s="8">
        <v>35031.22</v>
      </c>
      <c r="J1640" s="9">
        <v>40379.92</v>
      </c>
      <c r="K1640" s="8">
        <v>63438.9</v>
      </c>
      <c r="L1640" s="9">
        <v>2870</v>
      </c>
      <c r="M1640" s="9">
        <v>1234</v>
      </c>
    </row>
    <row r="1641" spans="2:10" ht="12.75" hidden="1">
      <c r="B1641" s="50" t="s">
        <v>1613</v>
      </c>
      <c r="C1641" s="49"/>
      <c r="D1641" s="49"/>
      <c r="E1641" s="3" t="s">
        <v>1958</v>
      </c>
      <c r="F1641" s="19">
        <v>63387</v>
      </c>
      <c r="G1641" s="19">
        <v>6416.67</v>
      </c>
      <c r="H1641" s="19">
        <v>1503</v>
      </c>
      <c r="I1641" s="8">
        <v>4779</v>
      </c>
      <c r="J1641" s="9">
        <v>0</v>
      </c>
    </row>
    <row r="1642" spans="2:10" ht="12.75" hidden="1">
      <c r="B1642" s="50" t="s">
        <v>1625</v>
      </c>
      <c r="C1642" s="49"/>
      <c r="D1642" s="49"/>
      <c r="E1642" s="3" t="s">
        <v>1959</v>
      </c>
      <c r="F1642" s="19">
        <v>0</v>
      </c>
      <c r="G1642" s="19">
        <v>196499.81</v>
      </c>
      <c r="H1642" s="19">
        <v>308789.81</v>
      </c>
      <c r="I1642" s="8">
        <v>10398.25</v>
      </c>
      <c r="J1642" s="9">
        <v>100655.44</v>
      </c>
    </row>
    <row r="1643" spans="2:9" ht="12.75" hidden="1">
      <c r="B1643" s="50" t="s">
        <v>1614</v>
      </c>
      <c r="C1643" s="49"/>
      <c r="D1643" s="49"/>
      <c r="E1643" s="3" t="s">
        <v>2826</v>
      </c>
      <c r="I1643" s="8">
        <v>35371.39</v>
      </c>
    </row>
    <row r="1644" spans="2:9" ht="12.75" hidden="1">
      <c r="B1644" s="50" t="s">
        <v>1615</v>
      </c>
      <c r="C1644" s="49"/>
      <c r="D1644" s="49"/>
      <c r="E1644" s="3" t="s">
        <v>2827</v>
      </c>
      <c r="I1644" s="8">
        <v>34927.93</v>
      </c>
    </row>
    <row r="1645" spans="2:10" ht="12.75" hidden="1">
      <c r="B1645" s="50" t="s">
        <v>1616</v>
      </c>
      <c r="C1645" s="49"/>
      <c r="D1645" s="49"/>
      <c r="E1645" s="3" t="s">
        <v>2828</v>
      </c>
      <c r="I1645" s="8">
        <v>52781.82</v>
      </c>
      <c r="J1645" s="9">
        <v>2113.99</v>
      </c>
    </row>
    <row r="1646" spans="2:9" ht="12.75" hidden="1">
      <c r="B1646" s="50" t="s">
        <v>1617</v>
      </c>
      <c r="C1646" s="49"/>
      <c r="D1646" s="49"/>
      <c r="E1646" s="3" t="s">
        <v>2829</v>
      </c>
      <c r="I1646" s="8">
        <v>54958.05</v>
      </c>
    </row>
    <row r="1647" spans="2:10" ht="12.75" hidden="1">
      <c r="B1647" s="50" t="s">
        <v>1618</v>
      </c>
      <c r="C1647" s="49"/>
      <c r="D1647" s="49"/>
      <c r="E1647" s="3" t="s">
        <v>2830</v>
      </c>
      <c r="I1647" s="8">
        <v>15603.02</v>
      </c>
      <c r="J1647" s="9">
        <v>390.99</v>
      </c>
    </row>
    <row r="1648" spans="2:9" ht="12.75" hidden="1">
      <c r="B1648" s="50" t="s">
        <v>1619</v>
      </c>
      <c r="C1648" s="49"/>
      <c r="D1648" s="49"/>
      <c r="E1648" s="3" t="s">
        <v>2831</v>
      </c>
      <c r="I1648" s="8">
        <v>73410.22</v>
      </c>
    </row>
    <row r="1649" spans="2:10" ht="12.75" hidden="1">
      <c r="B1649" s="50" t="s">
        <v>1620</v>
      </c>
      <c r="C1649" s="49"/>
      <c r="D1649" s="49"/>
      <c r="E1649" s="3" t="s">
        <v>2832</v>
      </c>
      <c r="I1649" s="8">
        <v>33543.44</v>
      </c>
      <c r="J1649" s="9">
        <v>1500</v>
      </c>
    </row>
    <row r="1650" spans="2:9" ht="12.75" hidden="1">
      <c r="B1650" s="50" t="s">
        <v>1621</v>
      </c>
      <c r="C1650" s="49"/>
      <c r="D1650" s="49"/>
      <c r="E1650" s="3" t="s">
        <v>2833</v>
      </c>
      <c r="I1650" s="8">
        <v>18000</v>
      </c>
    </row>
    <row r="1651" spans="2:10" ht="12.75" hidden="1">
      <c r="B1651" s="50" t="s">
        <v>1622</v>
      </c>
      <c r="C1651" s="49"/>
      <c r="D1651" s="49"/>
      <c r="E1651" s="3" t="s">
        <v>2834</v>
      </c>
      <c r="I1651" s="8">
        <v>10735.9</v>
      </c>
      <c r="J1651" s="9">
        <v>22837.18</v>
      </c>
    </row>
    <row r="1652" spans="2:10" ht="12.75" hidden="1">
      <c r="B1652" s="50" t="s">
        <v>1626</v>
      </c>
      <c r="C1652" s="49"/>
      <c r="D1652" s="49"/>
      <c r="E1652" s="3" t="s">
        <v>2835</v>
      </c>
      <c r="I1652" s="8">
        <v>3119</v>
      </c>
      <c r="J1652" s="9">
        <v>304.94</v>
      </c>
    </row>
    <row r="1653" spans="2:10" ht="12.75" hidden="1">
      <c r="B1653" s="50" t="s">
        <v>1623</v>
      </c>
      <c r="C1653" s="49"/>
      <c r="D1653" s="49"/>
      <c r="E1653" s="3" t="s">
        <v>2836</v>
      </c>
      <c r="I1653" s="8">
        <v>3220.29</v>
      </c>
      <c r="J1653" s="9">
        <v>6174.65</v>
      </c>
    </row>
    <row r="1654" spans="2:10" ht="12.75" hidden="1">
      <c r="B1654" s="50" t="s">
        <v>1627</v>
      </c>
      <c r="C1654" s="49"/>
      <c r="D1654" s="49"/>
      <c r="E1654" s="3" t="s">
        <v>1960</v>
      </c>
      <c r="F1654" s="19">
        <v>0</v>
      </c>
      <c r="H1654" s="19">
        <v>64741.94</v>
      </c>
      <c r="I1654" s="8">
        <v>17600.71</v>
      </c>
      <c r="J1654" s="9">
        <v>657.35</v>
      </c>
    </row>
    <row r="1655" spans="2:10" ht="12.75" hidden="1">
      <c r="B1655" s="50" t="s">
        <v>1628</v>
      </c>
      <c r="C1655" s="49"/>
      <c r="D1655" s="49"/>
      <c r="E1655" s="3" t="s">
        <v>1961</v>
      </c>
      <c r="F1655" s="19">
        <v>0</v>
      </c>
      <c r="H1655" s="19">
        <v>56605.5</v>
      </c>
      <c r="I1655" s="8">
        <v>2363.2</v>
      </c>
      <c r="J1655" s="9">
        <v>2117</v>
      </c>
    </row>
    <row r="1656" spans="2:11" ht="12.75" hidden="1">
      <c r="B1656" s="50" t="s">
        <v>1629</v>
      </c>
      <c r="C1656" s="49"/>
      <c r="D1656" s="49"/>
      <c r="E1656" s="3" t="s">
        <v>1962</v>
      </c>
      <c r="F1656" s="19">
        <v>0</v>
      </c>
      <c r="H1656" s="19">
        <v>52307.94</v>
      </c>
      <c r="I1656" s="8">
        <v>83340.03</v>
      </c>
      <c r="J1656" s="9">
        <v>348097.68</v>
      </c>
      <c r="K1656" s="8">
        <v>104879.35</v>
      </c>
    </row>
    <row r="1657" spans="2:10" ht="12.75" hidden="1">
      <c r="B1657" s="50" t="s">
        <v>1630</v>
      </c>
      <c r="C1657" s="49"/>
      <c r="D1657" s="49"/>
      <c r="E1657" s="3" t="s">
        <v>1964</v>
      </c>
      <c r="F1657" s="19">
        <v>0</v>
      </c>
      <c r="H1657" s="19">
        <v>63080</v>
      </c>
      <c r="I1657" s="8">
        <v>11563.34</v>
      </c>
      <c r="J1657" s="9">
        <v>0</v>
      </c>
    </row>
    <row r="1658" spans="2:10" ht="12.75" hidden="1">
      <c r="B1658" s="50" t="s">
        <v>1631</v>
      </c>
      <c r="C1658" s="49"/>
      <c r="D1658" s="49"/>
      <c r="E1658" s="3" t="s">
        <v>1965</v>
      </c>
      <c r="F1658" s="19">
        <v>0</v>
      </c>
      <c r="G1658" s="19">
        <v>1505.66</v>
      </c>
      <c r="H1658" s="19">
        <v>2629.95</v>
      </c>
      <c r="I1658" s="8">
        <v>39940</v>
      </c>
      <c r="J1658" s="9">
        <v>0</v>
      </c>
    </row>
    <row r="1659" spans="2:10" ht="12.75" hidden="1">
      <c r="B1659" s="50" t="s">
        <v>1671</v>
      </c>
      <c r="C1659" s="49"/>
      <c r="D1659" s="49"/>
      <c r="E1659" s="3" t="s">
        <v>1966</v>
      </c>
      <c r="F1659" s="19">
        <v>0</v>
      </c>
      <c r="H1659" s="19">
        <v>60000</v>
      </c>
      <c r="I1659" s="8">
        <v>0</v>
      </c>
      <c r="J1659" s="9">
        <v>0</v>
      </c>
    </row>
    <row r="1660" spans="2:10" ht="12.75" hidden="1">
      <c r="B1660" s="50" t="s">
        <v>1672</v>
      </c>
      <c r="C1660" s="49"/>
      <c r="D1660" s="49"/>
      <c r="E1660" s="3" t="s">
        <v>1967</v>
      </c>
      <c r="F1660" s="19">
        <v>0</v>
      </c>
      <c r="G1660" s="19">
        <v>14060</v>
      </c>
      <c r="I1660" s="8">
        <v>0</v>
      </c>
      <c r="J1660" s="9">
        <v>0</v>
      </c>
    </row>
    <row r="1661" spans="2:10" ht="12.75" hidden="1">
      <c r="B1661" s="50" t="s">
        <v>1673</v>
      </c>
      <c r="C1661" s="49"/>
      <c r="D1661" s="49"/>
      <c r="E1661" s="3" t="s">
        <v>1968</v>
      </c>
      <c r="F1661" s="19">
        <v>0</v>
      </c>
      <c r="G1661" s="19">
        <v>41392</v>
      </c>
      <c r="I1661" s="8">
        <v>6812.96</v>
      </c>
      <c r="J1661" s="9">
        <v>0</v>
      </c>
    </row>
    <row r="1662" spans="2:10" ht="12.75" hidden="1">
      <c r="B1662" s="50" t="s">
        <v>1674</v>
      </c>
      <c r="C1662" s="49"/>
      <c r="D1662" s="49"/>
      <c r="E1662" s="3" t="s">
        <v>2276</v>
      </c>
      <c r="F1662" s="19">
        <v>0</v>
      </c>
      <c r="G1662" s="19">
        <v>33202.97</v>
      </c>
      <c r="H1662" s="19">
        <v>2559.25</v>
      </c>
      <c r="I1662" s="8">
        <v>0</v>
      </c>
      <c r="J1662" s="9">
        <v>0</v>
      </c>
    </row>
    <row r="1663" spans="2:10" ht="12.75" hidden="1">
      <c r="B1663" s="50" t="s">
        <v>1675</v>
      </c>
      <c r="C1663" s="49"/>
      <c r="D1663" s="49"/>
      <c r="E1663" s="3" t="s">
        <v>1969</v>
      </c>
      <c r="F1663" s="19">
        <v>0</v>
      </c>
      <c r="G1663" s="19">
        <v>77897.36</v>
      </c>
      <c r="H1663" s="19">
        <v>1960</v>
      </c>
      <c r="I1663" s="8">
        <v>10422</v>
      </c>
      <c r="J1663" s="9">
        <v>11071.81</v>
      </c>
    </row>
    <row r="1664" spans="2:10" ht="12.75" hidden="1">
      <c r="B1664" s="50" t="s">
        <v>1676</v>
      </c>
      <c r="C1664" s="49"/>
      <c r="D1664" s="49"/>
      <c r="E1664" s="3" t="s">
        <v>1970</v>
      </c>
      <c r="F1664" s="19">
        <v>0</v>
      </c>
      <c r="G1664" s="19">
        <v>15990</v>
      </c>
      <c r="I1664" s="8">
        <v>0</v>
      </c>
      <c r="J1664" s="9">
        <v>0</v>
      </c>
    </row>
    <row r="1665" spans="2:14" ht="12.75" hidden="1">
      <c r="B1665" s="50" t="s">
        <v>1677</v>
      </c>
      <c r="C1665" s="49">
        <v>587000</v>
      </c>
      <c r="D1665" s="49"/>
      <c r="E1665" s="3" t="s">
        <v>1971</v>
      </c>
      <c r="F1665" s="19">
        <v>0</v>
      </c>
      <c r="G1665" s="19">
        <v>12095.38</v>
      </c>
      <c r="H1665" s="19">
        <v>3974.7</v>
      </c>
      <c r="I1665" s="8">
        <v>-227.33</v>
      </c>
      <c r="J1665" s="9">
        <v>0</v>
      </c>
      <c r="K1665" s="8">
        <v>996</v>
      </c>
      <c r="L1665" s="9">
        <v>12039.74</v>
      </c>
      <c r="M1665" s="9">
        <v>7106.5</v>
      </c>
      <c r="N1665" s="9">
        <v>1873.32</v>
      </c>
    </row>
    <row r="1666" spans="2:10" ht="12.75" hidden="1">
      <c r="B1666" s="50" t="s">
        <v>1678</v>
      </c>
      <c r="C1666" s="49"/>
      <c r="D1666" s="49"/>
      <c r="E1666" s="3" t="s">
        <v>1983</v>
      </c>
      <c r="F1666" s="19">
        <v>0</v>
      </c>
      <c r="G1666" s="19">
        <v>11235</v>
      </c>
      <c r="I1666" s="8">
        <v>0</v>
      </c>
      <c r="J1666" s="9">
        <v>14900</v>
      </c>
    </row>
    <row r="1667" spans="2:10" ht="12.75" hidden="1">
      <c r="B1667" s="50" t="s">
        <v>1679</v>
      </c>
      <c r="C1667" s="49"/>
      <c r="D1667" s="49"/>
      <c r="E1667" s="3" t="s">
        <v>1984</v>
      </c>
      <c r="F1667" s="19">
        <v>0</v>
      </c>
      <c r="G1667" s="19">
        <v>6046.5</v>
      </c>
      <c r="H1667" s="19">
        <v>82843</v>
      </c>
      <c r="I1667" s="8">
        <v>6695</v>
      </c>
      <c r="J1667" s="9">
        <v>0</v>
      </c>
    </row>
    <row r="1668" spans="2:10" ht="12.75" hidden="1">
      <c r="B1668" s="50" t="s">
        <v>1680</v>
      </c>
      <c r="C1668" s="49"/>
      <c r="D1668" s="49"/>
      <c r="E1668" s="3" t="s">
        <v>1985</v>
      </c>
      <c r="F1668" s="19">
        <v>0</v>
      </c>
      <c r="G1668" s="19">
        <v>27526</v>
      </c>
      <c r="I1668" s="8">
        <v>0</v>
      </c>
      <c r="J1668" s="9">
        <v>0</v>
      </c>
    </row>
    <row r="1669" spans="2:10" ht="12.75" hidden="1">
      <c r="B1669" s="50" t="s">
        <v>1681</v>
      </c>
      <c r="C1669" s="49"/>
      <c r="D1669" s="49"/>
      <c r="E1669" s="3" t="s">
        <v>1986</v>
      </c>
      <c r="F1669" s="19">
        <v>0</v>
      </c>
      <c r="G1669" s="19">
        <v>26926</v>
      </c>
      <c r="I1669" s="8">
        <v>0</v>
      </c>
      <c r="J1669" s="9">
        <v>0</v>
      </c>
    </row>
    <row r="1670" spans="2:10" ht="12.75" hidden="1">
      <c r="B1670" s="50" t="s">
        <v>1682</v>
      </c>
      <c r="C1670" s="49"/>
      <c r="D1670" s="49"/>
      <c r="E1670" s="3" t="s">
        <v>1987</v>
      </c>
      <c r="F1670" s="19">
        <v>0</v>
      </c>
      <c r="G1670" s="19">
        <v>0</v>
      </c>
      <c r="H1670" s="19">
        <v>575000</v>
      </c>
      <c r="I1670" s="8">
        <v>0</v>
      </c>
      <c r="J1670" s="9">
        <v>0</v>
      </c>
    </row>
    <row r="1671" spans="2:10" ht="12.75" hidden="1">
      <c r="B1671" s="50" t="s">
        <v>1683</v>
      </c>
      <c r="C1671" s="49"/>
      <c r="D1671" s="49"/>
      <c r="E1671" s="3" t="s">
        <v>1988</v>
      </c>
      <c r="F1671" s="19">
        <v>0</v>
      </c>
      <c r="G1671" s="19">
        <v>69892</v>
      </c>
      <c r="I1671" s="8">
        <v>0</v>
      </c>
      <c r="J1671" s="9">
        <v>0</v>
      </c>
    </row>
    <row r="1672" spans="2:10" ht="12.75" hidden="1">
      <c r="B1672" s="50" t="s">
        <v>1684</v>
      </c>
      <c r="C1672" s="49"/>
      <c r="D1672" s="49"/>
      <c r="E1672" s="3" t="s">
        <v>1989</v>
      </c>
      <c r="F1672" s="19">
        <v>0</v>
      </c>
      <c r="G1672" s="19">
        <v>19950</v>
      </c>
      <c r="I1672" s="8">
        <v>0</v>
      </c>
      <c r="J1672" s="9">
        <v>0</v>
      </c>
    </row>
    <row r="1673" spans="2:10" ht="12.75" hidden="1">
      <c r="B1673" s="50" t="s">
        <v>1685</v>
      </c>
      <c r="C1673" s="49"/>
      <c r="D1673" s="49"/>
      <c r="E1673" s="3" t="s">
        <v>1990</v>
      </c>
      <c r="F1673" s="19">
        <v>0</v>
      </c>
      <c r="G1673" s="19">
        <v>16100</v>
      </c>
      <c r="I1673" s="8">
        <v>0</v>
      </c>
      <c r="J1673" s="9">
        <v>2829</v>
      </c>
    </row>
    <row r="1674" spans="2:10" ht="12.75" hidden="1">
      <c r="B1674" s="50" t="s">
        <v>1686</v>
      </c>
      <c r="C1674" s="49"/>
      <c r="D1674" s="49"/>
      <c r="E1674" s="3" t="s">
        <v>1991</v>
      </c>
      <c r="F1674" s="19">
        <v>0</v>
      </c>
      <c r="G1674" s="19">
        <v>16100</v>
      </c>
      <c r="H1674" s="19">
        <v>9775</v>
      </c>
      <c r="I1674" s="8">
        <v>93598</v>
      </c>
      <c r="J1674" s="9">
        <v>0</v>
      </c>
    </row>
    <row r="1675" spans="1:10" ht="12.75" hidden="1">
      <c r="A1675" s="3" t="s">
        <v>1992</v>
      </c>
      <c r="B1675" s="50" t="s">
        <v>1993</v>
      </c>
      <c r="C1675" s="49"/>
      <c r="D1675" s="49"/>
      <c r="E1675" s="3" t="s">
        <v>1994</v>
      </c>
      <c r="F1675" s="19">
        <v>2673947</v>
      </c>
      <c r="G1675" s="19">
        <v>0</v>
      </c>
      <c r="H1675" s="19">
        <v>606708</v>
      </c>
      <c r="I1675" s="8">
        <v>0</v>
      </c>
      <c r="J1675" s="9">
        <v>0</v>
      </c>
    </row>
    <row r="1676" spans="2:10" ht="12.75" hidden="1">
      <c r="B1676" s="50" t="s">
        <v>1687</v>
      </c>
      <c r="C1676" s="49"/>
      <c r="D1676" s="49"/>
      <c r="E1676" s="3" t="s">
        <v>1995</v>
      </c>
      <c r="F1676" s="19">
        <v>0</v>
      </c>
      <c r="G1676" s="19">
        <v>0</v>
      </c>
      <c r="H1676" s="19">
        <v>127808.79</v>
      </c>
      <c r="I1676" s="8">
        <v>0</v>
      </c>
      <c r="J1676" s="9">
        <v>0</v>
      </c>
    </row>
    <row r="1677" spans="2:10" ht="12.75" hidden="1">
      <c r="B1677" s="50" t="s">
        <v>1688</v>
      </c>
      <c r="C1677" s="49"/>
      <c r="D1677" s="49"/>
      <c r="E1677" s="3" t="s">
        <v>1996</v>
      </c>
      <c r="F1677" s="19">
        <v>0</v>
      </c>
      <c r="G1677" s="19">
        <v>0</v>
      </c>
      <c r="H1677" s="19">
        <v>74962.64</v>
      </c>
      <c r="I1677" s="8">
        <v>0</v>
      </c>
      <c r="J1677" s="9">
        <v>0</v>
      </c>
    </row>
    <row r="1678" spans="2:10" ht="12.75" hidden="1">
      <c r="B1678" s="50" t="s">
        <v>1689</v>
      </c>
      <c r="C1678" s="49"/>
      <c r="D1678" s="49"/>
      <c r="E1678" s="3" t="s">
        <v>1997</v>
      </c>
      <c r="F1678" s="19">
        <v>0</v>
      </c>
      <c r="G1678" s="19">
        <v>0</v>
      </c>
      <c r="H1678" s="19">
        <v>75000</v>
      </c>
      <c r="I1678" s="8">
        <v>0</v>
      </c>
      <c r="J1678" s="9">
        <v>0</v>
      </c>
    </row>
    <row r="1679" spans="2:10" ht="12.75" hidden="1">
      <c r="B1679" s="50" t="s">
        <v>1690</v>
      </c>
      <c r="C1679" s="49"/>
      <c r="D1679" s="49"/>
      <c r="E1679" s="3" t="s">
        <v>1999</v>
      </c>
      <c r="F1679" s="19">
        <v>0</v>
      </c>
      <c r="G1679" s="19">
        <v>0</v>
      </c>
      <c r="H1679" s="19">
        <v>25000</v>
      </c>
      <c r="I1679" s="8">
        <v>0</v>
      </c>
      <c r="J1679" s="9">
        <v>0</v>
      </c>
    </row>
    <row r="1680" spans="2:10" ht="12.75" hidden="1">
      <c r="B1680" s="50" t="s">
        <v>1691</v>
      </c>
      <c r="C1680" s="49"/>
      <c r="D1680" s="49"/>
      <c r="E1680" s="3" t="s">
        <v>2000</v>
      </c>
      <c r="F1680" s="19">
        <v>0</v>
      </c>
      <c r="G1680" s="19">
        <v>0</v>
      </c>
      <c r="H1680" s="19">
        <v>0</v>
      </c>
      <c r="I1680" s="8">
        <v>37500</v>
      </c>
      <c r="J1680" s="9">
        <v>0</v>
      </c>
    </row>
    <row r="1681" spans="2:10" ht="12.75" hidden="1">
      <c r="B1681" s="50" t="s">
        <v>1692</v>
      </c>
      <c r="C1681" s="49"/>
      <c r="D1681" s="49"/>
      <c r="E1681" s="3" t="s">
        <v>1718</v>
      </c>
      <c r="F1681" s="19">
        <v>0</v>
      </c>
      <c r="G1681" s="19">
        <v>0</v>
      </c>
      <c r="H1681" s="19">
        <v>0</v>
      </c>
      <c r="I1681" s="8">
        <v>0</v>
      </c>
      <c r="J1681" s="9">
        <v>25000</v>
      </c>
    </row>
    <row r="1682" spans="2:10" ht="12.75" hidden="1">
      <c r="B1682" s="50" t="s">
        <v>1693</v>
      </c>
      <c r="C1682" s="49"/>
      <c r="D1682" s="49"/>
      <c r="E1682" s="3" t="s">
        <v>2003</v>
      </c>
      <c r="F1682" s="19">
        <v>0</v>
      </c>
      <c r="G1682" s="19">
        <v>0</v>
      </c>
      <c r="H1682" s="19">
        <v>14976</v>
      </c>
      <c r="I1682" s="8">
        <v>0</v>
      </c>
      <c r="J1682" s="9">
        <v>0</v>
      </c>
    </row>
    <row r="1683" spans="2:10" ht="12.75" hidden="1">
      <c r="B1683" s="50" t="s">
        <v>1694</v>
      </c>
      <c r="C1683" s="49"/>
      <c r="D1683" s="49"/>
      <c r="E1683" s="3" t="s">
        <v>2004</v>
      </c>
      <c r="F1683" s="19">
        <v>0</v>
      </c>
      <c r="G1683" s="19">
        <v>0</v>
      </c>
      <c r="H1683" s="19">
        <v>1751.68</v>
      </c>
      <c r="I1683" s="8">
        <v>20525</v>
      </c>
      <c r="J1683" s="9">
        <v>0</v>
      </c>
    </row>
    <row r="1684" spans="2:10" ht="12.75" hidden="1">
      <c r="B1684" s="50" t="s">
        <v>1695</v>
      </c>
      <c r="C1684" s="49"/>
      <c r="D1684" s="49"/>
      <c r="E1684" s="3" t="s">
        <v>2005</v>
      </c>
      <c r="F1684" s="19">
        <v>0</v>
      </c>
      <c r="G1684" s="19">
        <v>0</v>
      </c>
      <c r="H1684" s="19">
        <v>21299.5</v>
      </c>
      <c r="I1684" s="8">
        <v>2800</v>
      </c>
      <c r="J1684" s="9">
        <v>0</v>
      </c>
    </row>
    <row r="1685" spans="2:10" ht="12.75" hidden="1">
      <c r="B1685" s="50" t="s">
        <v>1696</v>
      </c>
      <c r="C1685" s="49"/>
      <c r="D1685" s="49"/>
      <c r="E1685" s="3" t="s">
        <v>2008</v>
      </c>
      <c r="F1685" s="19">
        <v>0</v>
      </c>
      <c r="G1685" s="19">
        <v>0</v>
      </c>
      <c r="H1685" s="19">
        <v>22354</v>
      </c>
      <c r="I1685" s="8">
        <v>0</v>
      </c>
      <c r="J1685" s="9">
        <v>49972</v>
      </c>
    </row>
    <row r="1686" spans="2:10" ht="12.75" hidden="1">
      <c r="B1686" s="50" t="s">
        <v>1697</v>
      </c>
      <c r="C1686" s="49"/>
      <c r="D1686" s="49"/>
      <c r="E1686" s="3" t="s">
        <v>2009</v>
      </c>
      <c r="F1686" s="19">
        <v>0</v>
      </c>
      <c r="G1686" s="19">
        <v>0</v>
      </c>
      <c r="H1686" s="19">
        <v>0</v>
      </c>
      <c r="I1686" s="8">
        <v>16000</v>
      </c>
      <c r="J1686" s="9">
        <v>0</v>
      </c>
    </row>
    <row r="1687" spans="2:10" ht="12.75" hidden="1">
      <c r="B1687" s="50" t="s">
        <v>1698</v>
      </c>
      <c r="C1687" s="49"/>
      <c r="D1687" s="49"/>
      <c r="E1687" s="3" t="s">
        <v>2010</v>
      </c>
      <c r="F1687" s="19">
        <v>0</v>
      </c>
      <c r="G1687" s="19">
        <v>0</v>
      </c>
      <c r="H1687" s="19">
        <v>11187</v>
      </c>
      <c r="I1687" s="8">
        <v>0</v>
      </c>
      <c r="J1687" s="9">
        <v>0</v>
      </c>
    </row>
    <row r="1688" spans="2:10" ht="12.75" hidden="1">
      <c r="B1688" s="50" t="s">
        <v>1699</v>
      </c>
      <c r="C1688" s="49"/>
      <c r="D1688" s="49"/>
      <c r="E1688" s="3" t="s">
        <v>2013</v>
      </c>
      <c r="F1688" s="19">
        <v>0</v>
      </c>
      <c r="G1688" s="19">
        <v>0</v>
      </c>
      <c r="H1688" s="19">
        <v>10000</v>
      </c>
      <c r="I1688" s="8">
        <v>0</v>
      </c>
      <c r="J1688" s="9">
        <v>0</v>
      </c>
    </row>
    <row r="1689" spans="2:10" ht="12.75" hidden="1">
      <c r="B1689" s="50" t="s">
        <v>1700</v>
      </c>
      <c r="C1689" s="49"/>
      <c r="D1689" s="49"/>
      <c r="E1689" s="3" t="s">
        <v>2014</v>
      </c>
      <c r="F1689" s="19">
        <v>0</v>
      </c>
      <c r="G1689" s="19">
        <v>0</v>
      </c>
      <c r="H1689" s="19">
        <v>35706.96</v>
      </c>
      <c r="I1689" s="8">
        <v>0</v>
      </c>
      <c r="J1689" s="9">
        <v>0</v>
      </c>
    </row>
    <row r="1690" spans="2:4" ht="12.75" hidden="1">
      <c r="B1690" s="50"/>
      <c r="C1690" s="203">
        <v>66550233</v>
      </c>
      <c r="D1690" s="203"/>
    </row>
    <row r="1691" spans="2:14" ht="12.75" hidden="1">
      <c r="B1691" s="50">
        <v>6970.17</v>
      </c>
      <c r="C1691" s="49">
        <v>589500</v>
      </c>
      <c r="D1691" s="49"/>
      <c r="E1691" s="3" t="s">
        <v>2598</v>
      </c>
      <c r="M1691" s="9">
        <v>98489.61</v>
      </c>
      <c r="N1691" s="9">
        <v>176026.49</v>
      </c>
    </row>
    <row r="1692" spans="2:9" ht="12.75" hidden="1">
      <c r="B1692" s="50" t="s">
        <v>1701</v>
      </c>
      <c r="C1692" s="49"/>
      <c r="D1692" s="49"/>
      <c r="E1692" s="3" t="s">
        <v>2811</v>
      </c>
      <c r="I1692" s="8">
        <v>55230.04</v>
      </c>
    </row>
    <row r="1693" spans="2:11" ht="12.75" hidden="1">
      <c r="B1693" s="50" t="s">
        <v>1702</v>
      </c>
      <c r="C1693" s="49"/>
      <c r="D1693" s="49"/>
      <c r="E1693" s="3" t="s">
        <v>2812</v>
      </c>
      <c r="I1693" s="8">
        <v>3023.4</v>
      </c>
      <c r="J1693" s="9">
        <v>84803.07</v>
      </c>
      <c r="K1693" s="8">
        <v>2001</v>
      </c>
    </row>
    <row r="1694" spans="2:9" ht="12.75" hidden="1">
      <c r="B1694" s="50" t="s">
        <v>1703</v>
      </c>
      <c r="C1694" s="49"/>
      <c r="D1694" s="49"/>
      <c r="E1694" s="3" t="s">
        <v>2813</v>
      </c>
      <c r="I1694" s="8">
        <v>3896.19</v>
      </c>
    </row>
    <row r="1695" spans="2:11" ht="12.75" hidden="1">
      <c r="B1695" s="50" t="s">
        <v>1704</v>
      </c>
      <c r="C1695" s="49"/>
      <c r="D1695" s="49"/>
      <c r="E1695" s="3" t="s">
        <v>2015</v>
      </c>
      <c r="F1695" s="19">
        <v>0</v>
      </c>
      <c r="G1695" s="19">
        <v>0</v>
      </c>
      <c r="H1695" s="19">
        <v>0</v>
      </c>
      <c r="I1695" s="8">
        <v>43051</v>
      </c>
      <c r="J1695" s="9">
        <v>26145.28</v>
      </c>
      <c r="K1695" s="8">
        <v>4393</v>
      </c>
    </row>
    <row r="1696" spans="2:10" ht="12.75" hidden="1">
      <c r="B1696" s="50" t="s">
        <v>1719</v>
      </c>
      <c r="C1696" s="49"/>
      <c r="D1696" s="49"/>
      <c r="E1696" s="3" t="s">
        <v>1720</v>
      </c>
      <c r="J1696" s="9">
        <v>7075</v>
      </c>
    </row>
    <row r="1697" spans="2:12" ht="12.75" hidden="1">
      <c r="B1697" s="50" t="s">
        <v>1705</v>
      </c>
      <c r="C1697" s="49"/>
      <c r="D1697" s="49"/>
      <c r="E1697" s="3" t="s">
        <v>2016</v>
      </c>
      <c r="F1697" s="19">
        <v>0</v>
      </c>
      <c r="G1697" s="19">
        <v>0</v>
      </c>
      <c r="H1697" s="19">
        <v>0</v>
      </c>
      <c r="I1697" s="8">
        <v>1228.8</v>
      </c>
      <c r="J1697" s="9">
        <v>5200</v>
      </c>
      <c r="K1697" s="8">
        <v>81520.8</v>
      </c>
      <c r="L1697" s="9">
        <v>8291.2</v>
      </c>
    </row>
    <row r="1698" spans="2:9" ht="12.75" hidden="1">
      <c r="B1698" s="50" t="s">
        <v>1706</v>
      </c>
      <c r="C1698" s="49"/>
      <c r="D1698" s="49"/>
      <c r="E1698" s="3" t="s">
        <v>2814</v>
      </c>
      <c r="I1698" s="8">
        <v>40932.94</v>
      </c>
    </row>
    <row r="1699" spans="2:10" ht="12.75" hidden="1">
      <c r="B1699" s="50" t="s">
        <v>1707</v>
      </c>
      <c r="C1699" s="49"/>
      <c r="D1699" s="49"/>
      <c r="E1699" s="3" t="s">
        <v>2815</v>
      </c>
      <c r="I1699" s="8">
        <v>10783</v>
      </c>
      <c r="J1699" s="9">
        <v>34217</v>
      </c>
    </row>
    <row r="1700" spans="2:10" ht="12.75" hidden="1">
      <c r="B1700" s="50" t="s">
        <v>1708</v>
      </c>
      <c r="C1700" s="49"/>
      <c r="D1700" s="49"/>
      <c r="E1700" s="3" t="s">
        <v>2816</v>
      </c>
      <c r="I1700" s="8">
        <v>70793.81</v>
      </c>
      <c r="J1700" s="9">
        <v>8501</v>
      </c>
    </row>
    <row r="1701" spans="2:11" ht="12.75" hidden="1">
      <c r="B1701" s="50" t="s">
        <v>795</v>
      </c>
      <c r="C1701" s="49"/>
      <c r="D1701" s="49"/>
      <c r="E1701" s="3" t="s">
        <v>290</v>
      </c>
      <c r="J1701" s="9">
        <v>43493.18</v>
      </c>
      <c r="K1701" s="8">
        <v>6500</v>
      </c>
    </row>
    <row r="1702" spans="2:10" ht="12.75" hidden="1">
      <c r="B1702" s="50" t="s">
        <v>1721</v>
      </c>
      <c r="C1702" s="49"/>
      <c r="D1702" s="49"/>
      <c r="E1702" s="3" t="s">
        <v>1722</v>
      </c>
      <c r="J1702" s="9">
        <v>1897705.3</v>
      </c>
    </row>
    <row r="1703" spans="2:10" ht="12.75" hidden="1">
      <c r="B1703" s="50" t="s">
        <v>1709</v>
      </c>
      <c r="C1703" s="49"/>
      <c r="D1703" s="49"/>
      <c r="E1703" s="3" t="s">
        <v>2017</v>
      </c>
      <c r="F1703" s="19">
        <v>0</v>
      </c>
      <c r="G1703" s="19">
        <v>0</v>
      </c>
      <c r="H1703" s="19">
        <v>0</v>
      </c>
      <c r="I1703" s="8">
        <v>0</v>
      </c>
      <c r="J1703" s="9">
        <v>21000</v>
      </c>
    </row>
    <row r="1704" spans="2:10" ht="12.75" hidden="1">
      <c r="B1704" s="50" t="s">
        <v>1624</v>
      </c>
      <c r="C1704" s="49"/>
      <c r="D1704" s="49"/>
      <c r="E1704" s="3" t="s">
        <v>2018</v>
      </c>
      <c r="F1704" s="19">
        <v>0</v>
      </c>
      <c r="G1704" s="19">
        <v>0</v>
      </c>
      <c r="H1704" s="19">
        <v>0</v>
      </c>
      <c r="I1704" s="8">
        <v>0</v>
      </c>
      <c r="J1704" s="9">
        <v>64469</v>
      </c>
    </row>
    <row r="1705" spans="2:11" ht="12.75" hidden="1">
      <c r="B1705" s="50" t="s">
        <v>1723</v>
      </c>
      <c r="C1705" s="49"/>
      <c r="D1705" s="49"/>
      <c r="E1705" s="3" t="s">
        <v>1724</v>
      </c>
      <c r="J1705" s="9">
        <v>53079.11</v>
      </c>
      <c r="K1705" s="8">
        <v>31439.28</v>
      </c>
    </row>
    <row r="1706" spans="2:11" ht="12.75" hidden="1">
      <c r="B1706" s="50" t="s">
        <v>1725</v>
      </c>
      <c r="C1706" s="49"/>
      <c r="D1706" s="49"/>
      <c r="E1706" s="3" t="s">
        <v>794</v>
      </c>
      <c r="J1706" s="9">
        <v>47605.02</v>
      </c>
      <c r="K1706" s="8">
        <v>12261.32</v>
      </c>
    </row>
    <row r="1707" spans="2:10" ht="12.75" hidden="1">
      <c r="B1707" s="50" t="s">
        <v>1726</v>
      </c>
      <c r="C1707" s="49"/>
      <c r="D1707" s="49"/>
      <c r="E1707" s="3" t="s">
        <v>291</v>
      </c>
      <c r="J1707" s="9">
        <v>59055.95</v>
      </c>
    </row>
    <row r="1708" spans="2:10" ht="12.75" hidden="1">
      <c r="B1708" s="50" t="s">
        <v>1721</v>
      </c>
      <c r="C1708" s="49"/>
      <c r="D1708" s="49"/>
      <c r="E1708" s="3" t="s">
        <v>1722</v>
      </c>
      <c r="J1708" s="9">
        <v>0</v>
      </c>
    </row>
    <row r="1709" spans="2:10" ht="12.75" hidden="1">
      <c r="B1709" s="50" t="s">
        <v>1710</v>
      </c>
      <c r="C1709" s="49"/>
      <c r="D1709" s="49"/>
      <c r="E1709" s="3" t="s">
        <v>2019</v>
      </c>
      <c r="F1709" s="19">
        <v>0</v>
      </c>
      <c r="G1709" s="19">
        <v>0</v>
      </c>
      <c r="H1709" s="19">
        <v>0</v>
      </c>
      <c r="I1709" s="8">
        <v>0</v>
      </c>
      <c r="J1709" s="9">
        <v>129885</v>
      </c>
    </row>
    <row r="1710" spans="2:11" ht="12.75" hidden="1">
      <c r="B1710" s="50" t="s">
        <v>1711</v>
      </c>
      <c r="C1710" s="49"/>
      <c r="D1710" s="49"/>
      <c r="E1710" s="3" t="s">
        <v>2020</v>
      </c>
      <c r="F1710" s="19">
        <v>0</v>
      </c>
      <c r="G1710" s="19">
        <v>0</v>
      </c>
      <c r="H1710" s="19">
        <v>0</v>
      </c>
      <c r="I1710" s="8">
        <v>0</v>
      </c>
      <c r="J1710" s="9">
        <v>0</v>
      </c>
      <c r="K1710" s="8">
        <v>15359</v>
      </c>
    </row>
    <row r="1711" spans="2:10" ht="12.75" hidden="1">
      <c r="B1711" s="50" t="s">
        <v>1712</v>
      </c>
      <c r="C1711" s="49"/>
      <c r="D1711" s="49"/>
      <c r="E1711" s="3" t="s">
        <v>2021</v>
      </c>
      <c r="F1711" s="19">
        <v>0</v>
      </c>
      <c r="G1711" s="19">
        <v>0</v>
      </c>
      <c r="H1711" s="19">
        <v>0</v>
      </c>
      <c r="I1711" s="8">
        <v>0</v>
      </c>
      <c r="J1711" s="9">
        <v>20079.72</v>
      </c>
    </row>
    <row r="1712" spans="2:11" ht="12.75" hidden="1">
      <c r="B1712" s="50" t="s">
        <v>1713</v>
      </c>
      <c r="C1712" s="49"/>
      <c r="D1712" s="49"/>
      <c r="E1712" s="3" t="s">
        <v>2022</v>
      </c>
      <c r="F1712" s="19">
        <v>0</v>
      </c>
      <c r="G1712" s="19">
        <v>0</v>
      </c>
      <c r="H1712" s="19">
        <v>0</v>
      </c>
      <c r="I1712" s="8">
        <v>0</v>
      </c>
      <c r="J1712" s="9">
        <v>40000</v>
      </c>
      <c r="K1712" s="8">
        <v>10000</v>
      </c>
    </row>
    <row r="1713" spans="2:10" ht="12.75" hidden="1">
      <c r="B1713" s="50" t="s">
        <v>1714</v>
      </c>
      <c r="C1713" s="49"/>
      <c r="D1713" s="49"/>
      <c r="E1713" s="3" t="s">
        <v>2023</v>
      </c>
      <c r="F1713" s="19">
        <v>0</v>
      </c>
      <c r="G1713" s="19">
        <v>0</v>
      </c>
      <c r="H1713" s="19">
        <v>0</v>
      </c>
      <c r="I1713" s="8">
        <v>0</v>
      </c>
      <c r="J1713" s="9">
        <v>0</v>
      </c>
    </row>
    <row r="1714" spans="2:4" ht="12.75" hidden="1">
      <c r="B1714" s="50"/>
      <c r="C1714" s="203">
        <v>31050313</v>
      </c>
      <c r="D1714" s="203"/>
    </row>
    <row r="1715" spans="2:14" ht="12.75" hidden="1">
      <c r="B1715" s="50" t="s">
        <v>1715</v>
      </c>
      <c r="C1715" s="49">
        <v>582000</v>
      </c>
      <c r="D1715" s="49"/>
      <c r="E1715" s="3" t="s">
        <v>2024</v>
      </c>
      <c r="F1715" s="19">
        <v>0</v>
      </c>
      <c r="G1715" s="19">
        <v>0</v>
      </c>
      <c r="H1715" s="19">
        <v>0</v>
      </c>
      <c r="I1715" s="8">
        <v>0</v>
      </c>
      <c r="J1715" s="9">
        <v>37274.95</v>
      </c>
      <c r="K1715" s="8">
        <v>36854.12</v>
      </c>
      <c r="L1715" s="9">
        <v>19564.64</v>
      </c>
      <c r="N1715" s="9">
        <v>4620.86</v>
      </c>
    </row>
    <row r="1716" spans="2:4" ht="12.75" hidden="1">
      <c r="B1716" s="50"/>
      <c r="C1716" s="203">
        <v>31050513</v>
      </c>
      <c r="D1716" s="203"/>
    </row>
    <row r="1717" spans="2:14" ht="12.75" hidden="1">
      <c r="B1717" s="50" t="s">
        <v>1716</v>
      </c>
      <c r="C1717" s="49">
        <v>582000</v>
      </c>
      <c r="D1717" s="49"/>
      <c r="E1717" s="3" t="s">
        <v>2025</v>
      </c>
      <c r="F1717" s="19">
        <v>0</v>
      </c>
      <c r="G1717" s="19">
        <v>0</v>
      </c>
      <c r="H1717" s="19">
        <v>0</v>
      </c>
      <c r="I1717" s="8">
        <v>0</v>
      </c>
      <c r="J1717" s="9">
        <v>0</v>
      </c>
      <c r="N1717" s="9">
        <v>8081</v>
      </c>
    </row>
    <row r="1718" spans="2:10" ht="12.75" hidden="1">
      <c r="B1718" s="50" t="s">
        <v>1717</v>
      </c>
      <c r="C1718" s="49"/>
      <c r="D1718" s="49"/>
      <c r="E1718" s="3" t="s">
        <v>2026</v>
      </c>
      <c r="F1718" s="19">
        <v>0</v>
      </c>
      <c r="G1718" s="19">
        <v>0</v>
      </c>
      <c r="H1718" s="19">
        <v>0</v>
      </c>
      <c r="I1718" s="8">
        <v>0</v>
      </c>
      <c r="J1718" s="9">
        <v>33625.75</v>
      </c>
    </row>
    <row r="1719" spans="2:10" ht="12.75" hidden="1">
      <c r="B1719" s="50" t="s">
        <v>2931</v>
      </c>
      <c r="C1719" s="49"/>
      <c r="D1719" s="49"/>
      <c r="E1719" s="3" t="s">
        <v>784</v>
      </c>
      <c r="J1719" s="9">
        <v>0</v>
      </c>
    </row>
    <row r="1720" spans="2:10" ht="12.75" hidden="1">
      <c r="B1720" s="50" t="s">
        <v>2931</v>
      </c>
      <c r="C1720" s="49"/>
      <c r="D1720" s="49"/>
      <c r="E1720" s="3" t="s">
        <v>786</v>
      </c>
      <c r="J1720" s="9">
        <v>0</v>
      </c>
    </row>
    <row r="1721" spans="5:10" ht="12.75" hidden="1">
      <c r="E1721" s="3" t="s">
        <v>785</v>
      </c>
      <c r="J1721" s="9">
        <v>0</v>
      </c>
    </row>
    <row r="1722" spans="2:12" ht="12.75" hidden="1">
      <c r="B1722" s="50" t="s">
        <v>798</v>
      </c>
      <c r="C1722" s="49"/>
      <c r="D1722" s="49"/>
      <c r="E1722" s="3" t="s">
        <v>292</v>
      </c>
      <c r="K1722" s="9">
        <v>28830.18</v>
      </c>
      <c r="L1722" s="9">
        <v>11150</v>
      </c>
    </row>
    <row r="1723" spans="2:12" ht="12.75" hidden="1">
      <c r="B1723" s="50" t="s">
        <v>799</v>
      </c>
      <c r="C1723" s="49"/>
      <c r="D1723" s="49"/>
      <c r="E1723" s="3" t="s">
        <v>806</v>
      </c>
      <c r="K1723" s="9">
        <v>32352.36</v>
      </c>
      <c r="L1723" s="9">
        <v>0</v>
      </c>
    </row>
    <row r="1724" spans="2:11" ht="12.75" hidden="1">
      <c r="B1724" s="50" t="s">
        <v>800</v>
      </c>
      <c r="C1724" s="49"/>
      <c r="D1724" s="49"/>
      <c r="E1724" s="3" t="s">
        <v>807</v>
      </c>
      <c r="K1724" s="9">
        <v>319881.28</v>
      </c>
    </row>
    <row r="1725" spans="2:11" ht="12.75" hidden="1">
      <c r="B1725" s="50" t="s">
        <v>801</v>
      </c>
      <c r="C1725" s="49"/>
      <c r="D1725" s="49"/>
      <c r="E1725" s="3" t="s">
        <v>809</v>
      </c>
      <c r="K1725" s="9">
        <v>56754.5</v>
      </c>
    </row>
    <row r="1726" spans="2:11" ht="12.75" hidden="1">
      <c r="B1726" s="50" t="s">
        <v>802</v>
      </c>
      <c r="C1726" s="49"/>
      <c r="D1726" s="49"/>
      <c r="E1726" s="3" t="s">
        <v>810</v>
      </c>
      <c r="K1726" s="9">
        <v>14846.8</v>
      </c>
    </row>
    <row r="1727" spans="2:11" ht="12.75" hidden="1">
      <c r="B1727" s="50" t="s">
        <v>803</v>
      </c>
      <c r="C1727" s="49"/>
      <c r="D1727" s="49"/>
      <c r="E1727" s="3" t="s">
        <v>811</v>
      </c>
      <c r="K1727" s="9">
        <v>14880</v>
      </c>
    </row>
    <row r="1728" spans="2:12" ht="12.75" hidden="1">
      <c r="B1728" s="50" t="s">
        <v>804</v>
      </c>
      <c r="C1728" s="49"/>
      <c r="D1728" s="49"/>
      <c r="E1728" s="3" t="s">
        <v>812</v>
      </c>
      <c r="K1728" s="9">
        <v>55410.51</v>
      </c>
      <c r="L1728" s="9">
        <v>4589.49</v>
      </c>
    </row>
    <row r="1729" spans="2:11" ht="12.75" hidden="1">
      <c r="B1729" s="50" t="s">
        <v>805</v>
      </c>
      <c r="C1729" s="49"/>
      <c r="D1729" s="49"/>
      <c r="E1729" s="3" t="s">
        <v>813</v>
      </c>
      <c r="K1729" s="9">
        <v>50000</v>
      </c>
    </row>
    <row r="1730" spans="2:11" ht="12.75" hidden="1">
      <c r="B1730" s="50">
        <v>6973.09</v>
      </c>
      <c r="C1730" s="49"/>
      <c r="D1730" s="49"/>
      <c r="E1730" s="3" t="s">
        <v>139</v>
      </c>
      <c r="K1730" s="9">
        <v>46707</v>
      </c>
    </row>
    <row r="1731" spans="2:13" ht="12.75" hidden="1">
      <c r="B1731" s="50">
        <v>6973.1</v>
      </c>
      <c r="C1731" s="49"/>
      <c r="D1731" s="49"/>
      <c r="E1731" s="3" t="s">
        <v>140</v>
      </c>
      <c r="K1731" s="9">
        <v>0</v>
      </c>
      <c r="L1731" s="9">
        <v>406253.89</v>
      </c>
      <c r="M1731" s="9">
        <v>418347.61</v>
      </c>
    </row>
    <row r="1732" spans="2:11" ht="12.75" hidden="1">
      <c r="B1732" s="50">
        <v>6973.11</v>
      </c>
      <c r="C1732" s="49"/>
      <c r="D1732" s="49"/>
      <c r="E1732" s="3" t="s">
        <v>141</v>
      </c>
      <c r="K1732" s="9">
        <v>22900</v>
      </c>
    </row>
    <row r="1733" spans="2:11" ht="12.75" hidden="1">
      <c r="B1733" s="50">
        <v>6973.12</v>
      </c>
      <c r="C1733" s="49"/>
      <c r="D1733" s="49"/>
      <c r="E1733" s="3" t="s">
        <v>142</v>
      </c>
      <c r="K1733" s="9">
        <v>14867.2</v>
      </c>
    </row>
    <row r="1734" spans="2:11" ht="12.75" hidden="1">
      <c r="B1734" s="50">
        <v>6973.13</v>
      </c>
      <c r="C1734" s="49"/>
      <c r="D1734" s="49"/>
      <c r="E1734" s="3" t="s">
        <v>143</v>
      </c>
      <c r="K1734" s="9">
        <v>0</v>
      </c>
    </row>
    <row r="1735" spans="2:11" ht="12.75" hidden="1">
      <c r="B1735" s="50">
        <v>6973.14</v>
      </c>
      <c r="C1735" s="49"/>
      <c r="D1735" s="49"/>
      <c r="E1735" s="3" t="s">
        <v>144</v>
      </c>
      <c r="K1735" s="9">
        <v>60550</v>
      </c>
    </row>
    <row r="1736" spans="2:11" ht="12.75" hidden="1">
      <c r="B1736" s="50">
        <v>6973.15</v>
      </c>
      <c r="C1736" s="49"/>
      <c r="D1736" s="49"/>
      <c r="E1736" s="3" t="s">
        <v>145</v>
      </c>
      <c r="K1736" s="9">
        <v>17000</v>
      </c>
    </row>
    <row r="1737" spans="2:14" ht="12.75" hidden="1">
      <c r="B1737" s="50">
        <v>6973.16</v>
      </c>
      <c r="C1737" s="49">
        <v>582000</v>
      </c>
      <c r="D1737" s="49"/>
      <c r="E1737" s="3" t="s">
        <v>146</v>
      </c>
      <c r="K1737" s="9">
        <v>18942</v>
      </c>
      <c r="L1737" s="9">
        <v>1460</v>
      </c>
      <c r="M1737" s="9">
        <v>4000</v>
      </c>
      <c r="N1737" s="9">
        <v>598</v>
      </c>
    </row>
    <row r="1738" spans="2:13" ht="12.75" hidden="1">
      <c r="B1738" s="50">
        <v>6973.18</v>
      </c>
      <c r="C1738" s="49"/>
      <c r="D1738" s="49"/>
      <c r="E1738" s="3" t="s">
        <v>147</v>
      </c>
      <c r="K1738" s="9">
        <v>88923.96</v>
      </c>
      <c r="M1738" s="9">
        <v>2250</v>
      </c>
    </row>
    <row r="1739" spans="2:11" ht="12.75" hidden="1">
      <c r="B1739" s="50">
        <v>6973.19</v>
      </c>
      <c r="C1739" s="49"/>
      <c r="D1739" s="49"/>
      <c r="E1739" s="3" t="s">
        <v>148</v>
      </c>
      <c r="K1739" s="9">
        <v>84175</v>
      </c>
    </row>
    <row r="1740" spans="2:11" ht="12.75" hidden="1">
      <c r="B1740" s="50">
        <v>6973.2</v>
      </c>
      <c r="C1740" s="49"/>
      <c r="D1740" s="49"/>
      <c r="E1740" s="3" t="s">
        <v>149</v>
      </c>
      <c r="K1740" s="9">
        <v>9891.24</v>
      </c>
    </row>
    <row r="1741" spans="2:11" ht="12.75" hidden="1">
      <c r="B1741" s="50"/>
      <c r="C1741" s="203">
        <v>31050383</v>
      </c>
      <c r="D1741" s="203"/>
      <c r="K1741" s="9"/>
    </row>
    <row r="1742" spans="2:14" ht="12.75" hidden="1">
      <c r="B1742" s="50">
        <v>6973.21</v>
      </c>
      <c r="C1742" s="49">
        <v>582000</v>
      </c>
      <c r="D1742" s="49"/>
      <c r="E1742" s="3" t="s">
        <v>150</v>
      </c>
      <c r="K1742" s="9">
        <v>7289</v>
      </c>
      <c r="M1742" s="9">
        <v>8200</v>
      </c>
      <c r="N1742" s="9">
        <v>3620</v>
      </c>
    </row>
    <row r="1743" spans="2:13" ht="12.75" hidden="1">
      <c r="B1743" s="50">
        <v>6973.22</v>
      </c>
      <c r="C1743" s="49"/>
      <c r="D1743" s="49"/>
      <c r="E1743" s="3" t="s">
        <v>151</v>
      </c>
      <c r="K1743" s="9">
        <v>0</v>
      </c>
      <c r="M1743" s="9">
        <v>31270</v>
      </c>
    </row>
    <row r="1744" spans="2:13" ht="12.75" hidden="1">
      <c r="B1744" s="50">
        <v>6973.28</v>
      </c>
      <c r="C1744" s="49"/>
      <c r="D1744" s="49"/>
      <c r="E1744" s="3" t="s">
        <v>1552</v>
      </c>
      <c r="K1744" s="9">
        <v>3923.84</v>
      </c>
      <c r="L1744" s="9">
        <v>37530.5</v>
      </c>
      <c r="M1744" s="9">
        <v>101.89</v>
      </c>
    </row>
    <row r="1745" spans="2:13" ht="12.75" hidden="1">
      <c r="B1745" s="50"/>
      <c r="C1745" s="49"/>
      <c r="D1745" s="49"/>
      <c r="E1745" s="3" t="s">
        <v>1935</v>
      </c>
      <c r="J1745" s="9" t="s">
        <v>1553</v>
      </c>
      <c r="K1745" s="9">
        <v>9072.23</v>
      </c>
      <c r="L1745" s="9">
        <v>223400.36</v>
      </c>
      <c r="M1745" s="9">
        <v>45873.08</v>
      </c>
    </row>
    <row r="1746" spans="2:12" ht="12.75" hidden="1">
      <c r="B1746" s="11" t="s">
        <v>1348</v>
      </c>
      <c r="E1746" s="3" t="s">
        <v>1903</v>
      </c>
      <c r="K1746" s="9"/>
      <c r="L1746" s="9">
        <v>19821.1</v>
      </c>
    </row>
    <row r="1747" spans="2:12" ht="12.75" hidden="1">
      <c r="B1747" s="11" t="s">
        <v>1349</v>
      </c>
      <c r="E1747" s="3" t="s">
        <v>1904</v>
      </c>
      <c r="K1747" s="9"/>
      <c r="L1747" s="9">
        <v>38976.2</v>
      </c>
    </row>
    <row r="1748" spans="2:12" ht="12.75" hidden="1">
      <c r="B1748" s="11" t="s">
        <v>1350</v>
      </c>
      <c r="E1748" s="3" t="s">
        <v>1905</v>
      </c>
      <c r="K1748" s="9"/>
      <c r="L1748" s="9">
        <v>16906.12</v>
      </c>
    </row>
    <row r="1749" spans="2:13" ht="12.75" hidden="1">
      <c r="B1749" s="11" t="s">
        <v>1351</v>
      </c>
      <c r="E1749" s="3" t="s">
        <v>1906</v>
      </c>
      <c r="K1749" s="9"/>
      <c r="L1749" s="9">
        <v>21460</v>
      </c>
      <c r="M1749" s="9">
        <v>20535</v>
      </c>
    </row>
    <row r="1750" spans="2:13" ht="12.75" hidden="1">
      <c r="B1750" s="11" t="s">
        <v>1352</v>
      </c>
      <c r="E1750" s="3" t="s">
        <v>1959</v>
      </c>
      <c r="K1750" s="9"/>
      <c r="L1750" s="9">
        <v>42270.48</v>
      </c>
      <c r="M1750" s="9">
        <v>50729.52</v>
      </c>
    </row>
    <row r="1751" spans="2:12" ht="12.75" hidden="1">
      <c r="B1751" s="11" t="s">
        <v>1353</v>
      </c>
      <c r="E1751" s="3" t="s">
        <v>1907</v>
      </c>
      <c r="K1751" s="9"/>
      <c r="L1751" s="9">
        <v>34185</v>
      </c>
    </row>
    <row r="1752" spans="2:12" ht="12.75" hidden="1">
      <c r="B1752" s="11" t="s">
        <v>1354</v>
      </c>
      <c r="E1752" s="3" t="s">
        <v>1908</v>
      </c>
      <c r="K1752" s="9"/>
      <c r="L1752" s="9">
        <v>41350</v>
      </c>
    </row>
    <row r="1753" spans="2:13" ht="12.75" hidden="1">
      <c r="B1753" s="11" t="s">
        <v>1355</v>
      </c>
      <c r="E1753" s="3" t="s">
        <v>1910</v>
      </c>
      <c r="K1753" s="9"/>
      <c r="L1753" s="9">
        <v>45891.36</v>
      </c>
      <c r="M1753" s="9">
        <v>4108.32</v>
      </c>
    </row>
    <row r="1754" spans="2:14" ht="12.75" hidden="1">
      <c r="B1754" s="11" t="s">
        <v>1356</v>
      </c>
      <c r="E1754" s="3" t="s">
        <v>1911</v>
      </c>
      <c r="K1754" s="9"/>
      <c r="L1754" s="9">
        <v>15461.76</v>
      </c>
      <c r="M1754" s="9">
        <v>22850.15</v>
      </c>
      <c r="N1754" s="9">
        <v>2665.66</v>
      </c>
    </row>
    <row r="1755" spans="2:14" ht="12.75" hidden="1">
      <c r="B1755" s="11" t="s">
        <v>1357</v>
      </c>
      <c r="E1755" s="3" t="s">
        <v>140</v>
      </c>
      <c r="K1755" s="9"/>
      <c r="L1755" s="9">
        <v>309523.97</v>
      </c>
      <c r="M1755" s="9">
        <v>843905.35</v>
      </c>
      <c r="N1755" s="9">
        <v>3604</v>
      </c>
    </row>
    <row r="1756" spans="2:12" ht="12.75" hidden="1">
      <c r="B1756" s="11" t="s">
        <v>1358</v>
      </c>
      <c r="E1756" s="3" t="s">
        <v>1912</v>
      </c>
      <c r="K1756" s="9"/>
      <c r="L1756" s="9">
        <v>56000</v>
      </c>
    </row>
    <row r="1757" spans="2:14" ht="12.75" hidden="1">
      <c r="B1757" s="11" t="s">
        <v>1359</v>
      </c>
      <c r="E1757" s="3" t="s">
        <v>1951</v>
      </c>
      <c r="K1757" s="9"/>
      <c r="L1757" s="9">
        <v>235917.33</v>
      </c>
      <c r="M1757" s="9">
        <v>29515</v>
      </c>
      <c r="N1757" s="9">
        <v>34542.91</v>
      </c>
    </row>
    <row r="1758" spans="2:14" ht="12.75" hidden="1">
      <c r="B1758" s="11" t="s">
        <v>1360</v>
      </c>
      <c r="E1758" s="3" t="s">
        <v>1934</v>
      </c>
      <c r="K1758" s="9"/>
      <c r="L1758" s="9">
        <v>14241.38</v>
      </c>
      <c r="N1758" s="9">
        <v>758.62</v>
      </c>
    </row>
    <row r="1759" spans="2:14" ht="12.75" hidden="1">
      <c r="B1759" s="11" t="s">
        <v>1361</v>
      </c>
      <c r="E1759" s="3" t="s">
        <v>1913</v>
      </c>
      <c r="K1759" s="9"/>
      <c r="L1759" s="9">
        <v>0</v>
      </c>
      <c r="N1759" s="9">
        <v>41404</v>
      </c>
    </row>
    <row r="1760" spans="2:12" ht="12.75" hidden="1">
      <c r="B1760" s="11" t="s">
        <v>1362</v>
      </c>
      <c r="E1760" s="3" t="s">
        <v>1914</v>
      </c>
      <c r="K1760" s="9"/>
      <c r="L1760" s="9">
        <v>32000</v>
      </c>
    </row>
    <row r="1761" spans="2:14" ht="12.75" hidden="1">
      <c r="B1761" s="11" t="s">
        <v>1363</v>
      </c>
      <c r="E1761" s="3" t="s">
        <v>1915</v>
      </c>
      <c r="K1761" s="9"/>
      <c r="L1761" s="9">
        <v>15089.01</v>
      </c>
      <c r="M1761" s="9">
        <v>42233.88</v>
      </c>
      <c r="N1761" s="9">
        <v>419</v>
      </c>
    </row>
    <row r="1762" spans="2:12" ht="12.75" hidden="1">
      <c r="B1762" s="11" t="s">
        <v>1364</v>
      </c>
      <c r="E1762" s="3" t="s">
        <v>1916</v>
      </c>
      <c r="K1762" s="9"/>
      <c r="L1762" s="9">
        <f>15000-12000</f>
        <v>3000</v>
      </c>
    </row>
    <row r="1763" spans="2:12" ht="12.75" hidden="1">
      <c r="B1763" s="11" t="s">
        <v>1365</v>
      </c>
      <c r="E1763" s="3" t="s">
        <v>1930</v>
      </c>
      <c r="K1763" s="9"/>
      <c r="L1763" s="9">
        <f>25000-3237</f>
        <v>21763</v>
      </c>
    </row>
    <row r="1764" spans="2:12" ht="12.75" hidden="1">
      <c r="B1764" s="11" t="s">
        <v>1366</v>
      </c>
      <c r="E1764" s="3" t="s">
        <v>1931</v>
      </c>
      <c r="K1764" s="9"/>
      <c r="L1764" s="9">
        <v>10000</v>
      </c>
    </row>
    <row r="1765" spans="2:14" ht="12.75" hidden="1">
      <c r="B1765" s="11" t="s">
        <v>1367</v>
      </c>
      <c r="E1765" s="3" t="s">
        <v>1932</v>
      </c>
      <c r="K1765" s="9"/>
      <c r="L1765" s="9">
        <v>9531.67</v>
      </c>
      <c r="M1765" s="9">
        <v>33288.84</v>
      </c>
      <c r="N1765" s="9">
        <v>7175.8</v>
      </c>
    </row>
    <row r="1766" spans="2:12" ht="12.75" hidden="1">
      <c r="B1766" s="11" t="s">
        <v>1368</v>
      </c>
      <c r="E1766" s="3" t="s">
        <v>1933</v>
      </c>
      <c r="K1766" s="9"/>
      <c r="L1766" s="9">
        <v>4748.7</v>
      </c>
    </row>
    <row r="1767" spans="2:14" ht="12.75" hidden="1">
      <c r="B1767" s="11" t="s">
        <v>1369</v>
      </c>
      <c r="E1767" s="3" t="s">
        <v>2550</v>
      </c>
      <c r="K1767" s="9"/>
      <c r="L1767" s="9">
        <v>156841.7</v>
      </c>
      <c r="M1767" s="9">
        <v>30897.96</v>
      </c>
      <c r="N1767" s="9">
        <v>2716.1</v>
      </c>
    </row>
    <row r="1768" spans="2:14" ht="12.75" hidden="1">
      <c r="B1768" s="11" t="s">
        <v>1370</v>
      </c>
      <c r="E1768" s="3" t="s">
        <v>2551</v>
      </c>
      <c r="K1768" s="9"/>
      <c r="L1768" s="9">
        <v>55372.37</v>
      </c>
      <c r="M1768" s="9">
        <v>18309.9</v>
      </c>
      <c r="N1768" s="9">
        <v>285.85</v>
      </c>
    </row>
    <row r="1769" spans="2:14" ht="12.75" hidden="1">
      <c r="B1769" s="11" t="s">
        <v>2600</v>
      </c>
      <c r="E1769" s="3" t="s">
        <v>2601</v>
      </c>
      <c r="K1769" s="9"/>
      <c r="M1769" s="9">
        <v>101049.54</v>
      </c>
      <c r="N1769" s="9">
        <v>2267.5</v>
      </c>
    </row>
    <row r="1770" spans="2:13" ht="12.75" hidden="1">
      <c r="B1770" s="11" t="s">
        <v>1372</v>
      </c>
      <c r="E1770" s="3" t="s">
        <v>1373</v>
      </c>
      <c r="K1770" s="9"/>
      <c r="L1770" s="9">
        <v>15000</v>
      </c>
      <c r="M1770" s="9">
        <v>61896.93</v>
      </c>
    </row>
    <row r="1771" spans="2:13" ht="12.75" hidden="1">
      <c r="B1771" s="11" t="s">
        <v>1374</v>
      </c>
      <c r="E1771" s="3" t="s">
        <v>1375</v>
      </c>
      <c r="K1771" s="9"/>
      <c r="L1771" s="9">
        <v>1454718.41</v>
      </c>
      <c r="M1771" s="9">
        <v>6760.15</v>
      </c>
    </row>
    <row r="1772" spans="2:18" ht="12.75" hidden="1">
      <c r="B1772" s="11" t="s">
        <v>1376</v>
      </c>
      <c r="E1772" s="3" t="s">
        <v>1377</v>
      </c>
      <c r="K1772" s="9"/>
      <c r="M1772" s="9">
        <v>53935.7</v>
      </c>
      <c r="N1772" s="9">
        <v>0</v>
      </c>
      <c r="O1772" s="9">
        <v>0</v>
      </c>
      <c r="P1772" s="9">
        <v>0</v>
      </c>
      <c r="Q1772" s="9">
        <v>0</v>
      </c>
      <c r="R1772" s="9">
        <v>0</v>
      </c>
    </row>
    <row r="1773" spans="2:18" ht="12.75" hidden="1">
      <c r="B1773" s="11" t="s">
        <v>1378</v>
      </c>
      <c r="E1773" s="3" t="s">
        <v>1379</v>
      </c>
      <c r="K1773" s="9"/>
      <c r="M1773" s="9">
        <v>22000</v>
      </c>
      <c r="N1773" s="9">
        <v>0</v>
      </c>
      <c r="O1773" s="9">
        <v>0</v>
      </c>
      <c r="P1773" s="9">
        <v>0</v>
      </c>
      <c r="Q1773" s="9">
        <v>0</v>
      </c>
      <c r="R1773" s="9">
        <v>0</v>
      </c>
    </row>
    <row r="1774" spans="2:18" ht="12.75" hidden="1">
      <c r="B1774" s="11" t="s">
        <v>1380</v>
      </c>
      <c r="E1774" s="3" t="s">
        <v>1381</v>
      </c>
      <c r="K1774" s="9"/>
      <c r="M1774" s="9">
        <v>40460</v>
      </c>
      <c r="N1774" s="9">
        <v>0</v>
      </c>
      <c r="O1774" s="9">
        <v>0</v>
      </c>
      <c r="P1774" s="9">
        <v>0</v>
      </c>
      <c r="Q1774" s="9">
        <v>0</v>
      </c>
      <c r="R1774" s="9">
        <v>0</v>
      </c>
    </row>
    <row r="1775" spans="2:18" ht="12.75" hidden="1">
      <c r="B1775" s="11" t="s">
        <v>1382</v>
      </c>
      <c r="E1775" s="3" t="s">
        <v>1383</v>
      </c>
      <c r="K1775" s="9"/>
      <c r="M1775" s="9">
        <v>19200</v>
      </c>
      <c r="N1775" s="9">
        <v>0</v>
      </c>
      <c r="O1775" s="9">
        <v>0</v>
      </c>
      <c r="P1775" s="9">
        <v>0</v>
      </c>
      <c r="Q1775" s="9">
        <v>0</v>
      </c>
      <c r="R1775" s="9">
        <v>0</v>
      </c>
    </row>
    <row r="1776" spans="2:18" ht="12.75" hidden="1">
      <c r="B1776" s="11" t="s">
        <v>1384</v>
      </c>
      <c r="E1776" s="3" t="s">
        <v>1385</v>
      </c>
      <c r="K1776" s="9"/>
      <c r="M1776" s="9">
        <v>80257.99</v>
      </c>
      <c r="N1776" s="9">
        <v>742.01</v>
      </c>
      <c r="O1776" s="9">
        <v>0</v>
      </c>
      <c r="P1776" s="9">
        <v>0</v>
      </c>
      <c r="Q1776" s="9">
        <v>0</v>
      </c>
      <c r="R1776" s="9">
        <v>0</v>
      </c>
    </row>
    <row r="1777" spans="2:18" ht="12.75" hidden="1">
      <c r="B1777" s="11" t="s">
        <v>1386</v>
      </c>
      <c r="E1777" s="3" t="s">
        <v>1387</v>
      </c>
      <c r="K1777" s="9"/>
      <c r="M1777" s="9">
        <v>0</v>
      </c>
      <c r="N1777" s="9">
        <v>52887.6</v>
      </c>
      <c r="O1777" s="9">
        <v>0</v>
      </c>
      <c r="P1777" s="9">
        <v>0</v>
      </c>
      <c r="Q1777" s="9">
        <v>0</v>
      </c>
      <c r="R1777" s="9">
        <v>0</v>
      </c>
    </row>
    <row r="1778" spans="2:18" ht="12.75" hidden="1">
      <c r="B1778" s="11" t="s">
        <v>1388</v>
      </c>
      <c r="E1778" s="3" t="s">
        <v>1389</v>
      </c>
      <c r="K1778" s="9"/>
      <c r="M1778" s="9">
        <v>0</v>
      </c>
      <c r="N1778" s="9">
        <v>98000</v>
      </c>
      <c r="O1778" s="9">
        <v>0</v>
      </c>
      <c r="P1778" s="9">
        <v>0</v>
      </c>
      <c r="Q1778" s="9">
        <v>0</v>
      </c>
      <c r="R1778" s="9">
        <v>0</v>
      </c>
    </row>
    <row r="1779" spans="2:18" ht="12.75" hidden="1">
      <c r="B1779" s="11" t="s">
        <v>1390</v>
      </c>
      <c r="E1779" s="3" t="s">
        <v>1391</v>
      </c>
      <c r="K1779" s="9"/>
      <c r="M1779" s="9">
        <v>64999.51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</row>
    <row r="1780" spans="2:18" ht="12.75" hidden="1">
      <c r="B1780" s="11" t="s">
        <v>1392</v>
      </c>
      <c r="E1780" s="3" t="s">
        <v>1393</v>
      </c>
      <c r="K1780" s="9"/>
      <c r="M1780" s="9">
        <v>31911.28</v>
      </c>
      <c r="N1780" s="9">
        <v>27977.61</v>
      </c>
      <c r="O1780" s="9">
        <v>0</v>
      </c>
      <c r="P1780" s="9">
        <v>0</v>
      </c>
      <c r="Q1780" s="9">
        <v>0</v>
      </c>
      <c r="R1780" s="9">
        <v>0</v>
      </c>
    </row>
    <row r="1781" spans="2:18" ht="12.75" hidden="1">
      <c r="B1781" s="11" t="s">
        <v>1394</v>
      </c>
      <c r="E1781" s="3" t="s">
        <v>140</v>
      </c>
      <c r="K1781" s="9"/>
      <c r="M1781" s="9">
        <v>338980.67</v>
      </c>
      <c r="N1781" s="9">
        <v>353943.85</v>
      </c>
      <c r="O1781" s="9">
        <v>0</v>
      </c>
      <c r="P1781" s="9">
        <v>0</v>
      </c>
      <c r="Q1781" s="9">
        <v>0</v>
      </c>
      <c r="R1781" s="9">
        <v>0</v>
      </c>
    </row>
    <row r="1782" spans="2:18" ht="12.75" hidden="1">
      <c r="B1782" s="11" t="s">
        <v>1395</v>
      </c>
      <c r="E1782" s="3" t="s">
        <v>1396</v>
      </c>
      <c r="K1782" s="9"/>
      <c r="M1782" s="9">
        <v>9984.51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</row>
    <row r="1783" spans="2:18" ht="12.75" hidden="1">
      <c r="B1783" s="11" t="s">
        <v>1397</v>
      </c>
      <c r="E1783" s="3" t="s">
        <v>1448</v>
      </c>
      <c r="K1783" s="9"/>
      <c r="M1783" s="9">
        <v>18400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</row>
    <row r="1784" spans="2:18" ht="12.75" hidden="1">
      <c r="B1784" s="11" t="s">
        <v>1398</v>
      </c>
      <c r="E1784" s="3" t="s">
        <v>1402</v>
      </c>
      <c r="K1784" s="9"/>
      <c r="M1784" s="9">
        <v>45660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</row>
    <row r="1785" spans="2:18" ht="12.75" hidden="1">
      <c r="B1785" s="11" t="s">
        <v>1403</v>
      </c>
      <c r="E1785" s="3" t="s">
        <v>1404</v>
      </c>
      <c r="K1785" s="9"/>
      <c r="M1785" s="9">
        <v>24999.18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</row>
    <row r="1786" spans="2:18" ht="12.75" hidden="1">
      <c r="B1786" s="11" t="s">
        <v>1405</v>
      </c>
      <c r="E1786" s="3" t="s">
        <v>1951</v>
      </c>
      <c r="K1786" s="9"/>
      <c r="M1786" s="9">
        <v>155146.91</v>
      </c>
      <c r="N1786" s="9">
        <v>24853.09</v>
      </c>
      <c r="O1786" s="9">
        <v>0</v>
      </c>
      <c r="P1786" s="9">
        <v>0</v>
      </c>
      <c r="Q1786" s="9">
        <v>0</v>
      </c>
      <c r="R1786" s="9">
        <v>0</v>
      </c>
    </row>
    <row r="1787" spans="2:18" ht="12.75" hidden="1">
      <c r="B1787" s="11" t="s">
        <v>1406</v>
      </c>
      <c r="E1787" s="3" t="s">
        <v>1915</v>
      </c>
      <c r="K1787" s="9"/>
      <c r="M1787" s="9">
        <v>63429.33</v>
      </c>
      <c r="N1787" s="9">
        <v>11483</v>
      </c>
      <c r="O1787" s="9">
        <v>0</v>
      </c>
      <c r="P1787" s="9">
        <v>0</v>
      </c>
      <c r="Q1787" s="9">
        <v>0</v>
      </c>
      <c r="R1787" s="9">
        <v>0</v>
      </c>
    </row>
    <row r="1788" spans="2:18" ht="12.75" hidden="1">
      <c r="B1788" s="11" t="s">
        <v>1407</v>
      </c>
      <c r="E1788" s="3" t="s">
        <v>1408</v>
      </c>
      <c r="K1788" s="9"/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</row>
    <row r="1789" spans="2:18" ht="12.75" hidden="1">
      <c r="B1789" s="11" t="s">
        <v>1409</v>
      </c>
      <c r="E1789" s="3" t="s">
        <v>1410</v>
      </c>
      <c r="K1789" s="9"/>
      <c r="M1789" s="9">
        <v>19973.65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</row>
    <row r="1790" spans="2:18" ht="12.75" hidden="1">
      <c r="B1790" s="11" t="s">
        <v>1411</v>
      </c>
      <c r="E1790" s="3" t="s">
        <v>1412</v>
      </c>
      <c r="K1790" s="9"/>
      <c r="M1790" s="9">
        <v>9480</v>
      </c>
      <c r="N1790" s="9">
        <v>27213.14</v>
      </c>
      <c r="O1790" s="9">
        <v>0</v>
      </c>
      <c r="P1790" s="9">
        <v>0</v>
      </c>
      <c r="Q1790" s="9">
        <v>0</v>
      </c>
      <c r="R1790" s="9">
        <v>0</v>
      </c>
    </row>
    <row r="1791" spans="2:18" ht="12.75" hidden="1">
      <c r="B1791" s="11" t="s">
        <v>1413</v>
      </c>
      <c r="E1791" s="3" t="s">
        <v>1414</v>
      </c>
      <c r="K1791" s="9"/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</row>
    <row r="1792" spans="2:18" ht="12.75" hidden="1">
      <c r="B1792" s="11" t="s">
        <v>1415</v>
      </c>
      <c r="E1792" s="3" t="s">
        <v>1416</v>
      </c>
      <c r="K1792" s="9"/>
      <c r="M1792" s="9">
        <v>139620.23</v>
      </c>
      <c r="N1792" s="9">
        <v>7599.35</v>
      </c>
      <c r="O1792" s="9">
        <v>0</v>
      </c>
      <c r="P1792" s="9">
        <v>0</v>
      </c>
      <c r="Q1792" s="9">
        <v>0</v>
      </c>
      <c r="R1792" s="9">
        <v>0</v>
      </c>
    </row>
    <row r="1793" spans="2:13" ht="12.75" hidden="1">
      <c r="B1793" s="11" t="s">
        <v>2602</v>
      </c>
      <c r="E1793" s="3" t="s">
        <v>2607</v>
      </c>
      <c r="K1793" s="9"/>
      <c r="M1793" s="9">
        <v>279440</v>
      </c>
    </row>
    <row r="1794" spans="2:14" ht="12.75" hidden="1">
      <c r="B1794" s="11" t="s">
        <v>2603</v>
      </c>
      <c r="E1794" s="3" t="s">
        <v>2608</v>
      </c>
      <c r="K1794" s="9"/>
      <c r="M1794" s="9">
        <v>5012.21</v>
      </c>
      <c r="N1794" s="9">
        <v>15612.79</v>
      </c>
    </row>
    <row r="1795" spans="2:13" ht="12.75" hidden="1">
      <c r="B1795" s="11" t="s">
        <v>2604</v>
      </c>
      <c r="E1795" s="3" t="s">
        <v>2609</v>
      </c>
      <c r="K1795" s="9"/>
      <c r="M1795" s="9">
        <v>97000</v>
      </c>
    </row>
    <row r="1796" spans="2:14" ht="12.75" hidden="1">
      <c r="B1796" s="11" t="s">
        <v>2605</v>
      </c>
      <c r="E1796" s="3" t="s">
        <v>2610</v>
      </c>
      <c r="K1796" s="9"/>
      <c r="M1796" s="9">
        <v>685.64</v>
      </c>
      <c r="N1796" s="9">
        <v>328464.5</v>
      </c>
    </row>
    <row r="1797" spans="2:13" ht="12.75" hidden="1">
      <c r="B1797" s="11" t="s">
        <v>2606</v>
      </c>
      <c r="E1797" s="3" t="s">
        <v>2611</v>
      </c>
      <c r="K1797" s="9"/>
      <c r="M1797" s="9">
        <v>825000</v>
      </c>
    </row>
    <row r="1798" spans="2:14" ht="12.75" hidden="1">
      <c r="B1798" s="11" t="s">
        <v>80</v>
      </c>
      <c r="E1798" s="3" t="s">
        <v>104</v>
      </c>
      <c r="K1798" s="9"/>
      <c r="N1798" s="9">
        <v>27937.5</v>
      </c>
    </row>
    <row r="1799" spans="2:14" ht="12.75" hidden="1">
      <c r="B1799" s="11" t="s">
        <v>81</v>
      </c>
      <c r="E1799" s="3" t="s">
        <v>96</v>
      </c>
      <c r="K1799" s="9"/>
      <c r="N1799" s="9">
        <v>111600</v>
      </c>
    </row>
    <row r="1800" spans="2:14" ht="12.75" hidden="1">
      <c r="B1800" s="11" t="s">
        <v>82</v>
      </c>
      <c r="E1800" s="3" t="s">
        <v>97</v>
      </c>
      <c r="K1800" s="9"/>
      <c r="N1800" s="9">
        <v>10000</v>
      </c>
    </row>
    <row r="1801" spans="2:14" ht="12.75" hidden="1">
      <c r="B1801" s="11" t="s">
        <v>83</v>
      </c>
      <c r="E1801" s="3" t="s">
        <v>98</v>
      </c>
      <c r="K1801" s="9"/>
      <c r="N1801" s="9">
        <v>18738.33</v>
      </c>
    </row>
    <row r="1802" spans="2:14" ht="12.75" hidden="1">
      <c r="B1802" s="11" t="s">
        <v>85</v>
      </c>
      <c r="E1802" s="3" t="s">
        <v>99</v>
      </c>
      <c r="K1802" s="9"/>
      <c r="N1802" s="9">
        <v>365000</v>
      </c>
    </row>
    <row r="1803" spans="2:14" ht="12.75" hidden="1">
      <c r="B1803" s="11" t="s">
        <v>84</v>
      </c>
      <c r="E1803" s="3" t="s">
        <v>100</v>
      </c>
      <c r="K1803" s="9"/>
      <c r="N1803" s="9">
        <v>34356</v>
      </c>
    </row>
    <row r="1804" spans="2:14" ht="12.75" hidden="1">
      <c r="B1804" s="11" t="s">
        <v>86</v>
      </c>
      <c r="E1804" s="3" t="s">
        <v>101</v>
      </c>
      <c r="K1804" s="9"/>
      <c r="N1804" s="9">
        <v>67149.65</v>
      </c>
    </row>
    <row r="1805" spans="2:14" ht="12.75" hidden="1">
      <c r="B1805" s="11" t="s">
        <v>87</v>
      </c>
      <c r="E1805" s="3" t="s">
        <v>102</v>
      </c>
      <c r="K1805" s="9"/>
      <c r="N1805" s="9">
        <v>94854.01</v>
      </c>
    </row>
    <row r="1806" spans="2:14" ht="12.75" hidden="1">
      <c r="B1806" s="11" t="s">
        <v>88</v>
      </c>
      <c r="E1806" s="3" t="s">
        <v>103</v>
      </c>
      <c r="K1806" s="9"/>
      <c r="N1806" s="9">
        <v>22630</v>
      </c>
    </row>
    <row r="1807" spans="2:14" ht="12.75" hidden="1">
      <c r="B1807" s="11" t="s">
        <v>89</v>
      </c>
      <c r="E1807" s="3" t="s">
        <v>140</v>
      </c>
      <c r="K1807" s="9"/>
      <c r="N1807" s="9">
        <v>31644.37</v>
      </c>
    </row>
    <row r="1808" spans="2:14" ht="12.75" hidden="1">
      <c r="B1808" s="11" t="s">
        <v>90</v>
      </c>
      <c r="E1808" s="3" t="s">
        <v>105</v>
      </c>
      <c r="K1808" s="9"/>
      <c r="N1808" s="9">
        <v>46109</v>
      </c>
    </row>
    <row r="1809" spans="2:14" ht="12.75" hidden="1">
      <c r="B1809" s="11" t="s">
        <v>91</v>
      </c>
      <c r="E1809" s="3" t="s">
        <v>106</v>
      </c>
      <c r="K1809" s="9"/>
      <c r="N1809" s="9">
        <v>72300</v>
      </c>
    </row>
    <row r="1810" spans="2:14" ht="12.75" hidden="1">
      <c r="B1810" s="11" t="s">
        <v>92</v>
      </c>
      <c r="E1810" s="3" t="s">
        <v>107</v>
      </c>
      <c r="K1810" s="9"/>
      <c r="N1810" s="9">
        <v>21149.73</v>
      </c>
    </row>
    <row r="1811" spans="2:14" ht="12.75" hidden="1">
      <c r="B1811" s="11" t="s">
        <v>93</v>
      </c>
      <c r="E1811" s="3" t="s">
        <v>108</v>
      </c>
      <c r="K1811" s="9"/>
      <c r="N1811" s="9">
        <v>0</v>
      </c>
    </row>
    <row r="1812" spans="2:14" ht="12.75" hidden="1">
      <c r="B1812" s="11" t="s">
        <v>94</v>
      </c>
      <c r="E1812" s="3" t="s">
        <v>109</v>
      </c>
      <c r="K1812" s="9"/>
      <c r="N1812" s="9">
        <v>63918.2</v>
      </c>
    </row>
    <row r="1813" spans="2:14" ht="12.75" hidden="1">
      <c r="B1813" s="11" t="s">
        <v>95</v>
      </c>
      <c r="E1813" s="3" t="s">
        <v>110</v>
      </c>
      <c r="K1813" s="9"/>
      <c r="N1813" s="9">
        <v>23800</v>
      </c>
    </row>
    <row r="1814" spans="2:14" ht="12.75" hidden="1">
      <c r="B1814" s="11" t="s">
        <v>112</v>
      </c>
      <c r="E1814" s="3" t="s">
        <v>111</v>
      </c>
      <c r="K1814" s="9"/>
      <c r="N1814" s="9">
        <v>333999.9</v>
      </c>
    </row>
    <row r="1815" spans="15:18" ht="12.75">
      <c r="O1815" s="9" t="s">
        <v>2180</v>
      </c>
      <c r="P1815" s="9" t="s">
        <v>2180</v>
      </c>
      <c r="Q1815" s="9" t="s">
        <v>2180</v>
      </c>
      <c r="R1815" s="9" t="s">
        <v>2180</v>
      </c>
    </row>
    <row r="1816" spans="5:18" ht="12.75">
      <c r="E1816" s="2" t="s">
        <v>2027</v>
      </c>
      <c r="F1816" s="56">
        <f>SUM(F1628:F1713)</f>
        <v>3720576</v>
      </c>
      <c r="G1816" s="56">
        <f>SUM(G1628:G1689)</f>
        <v>2336260.4599999995</v>
      </c>
      <c r="H1816" s="56">
        <f>SUM(H1628:H1689)</f>
        <v>4377287.71</v>
      </c>
      <c r="I1816" s="57">
        <f>SUM(I1628:I1718)</f>
        <v>2582855.389999999</v>
      </c>
      <c r="J1816" s="28">
        <f>SUM(J1628:J1721)</f>
        <v>3849521.3200000008</v>
      </c>
      <c r="K1816" s="28">
        <f>SUM(K1628:K1815)</f>
        <v>1848021.9100000001</v>
      </c>
      <c r="L1816" s="28">
        <f>SUM(L1628:L1815)</f>
        <v>4272342.930000001</v>
      </c>
      <c r="M1816" s="28">
        <f>SUM(M1628:M1815)</f>
        <v>4250907.659999999</v>
      </c>
      <c r="N1816" s="28">
        <f>SUM(N1628:N1814)</f>
        <v>2584622.74</v>
      </c>
      <c r="O1816" s="28">
        <f>SUM(O1628:O1814)</f>
        <v>2185600</v>
      </c>
      <c r="P1816" s="28">
        <v>2185600</v>
      </c>
      <c r="Q1816" s="28">
        <v>2233000</v>
      </c>
      <c r="R1816" s="28">
        <f>SUM(R1628:R1814)</f>
        <v>0</v>
      </c>
    </row>
    <row r="1817" ht="12.75">
      <c r="E1817" s="63"/>
    </row>
    <row r="1818" ht="12.75">
      <c r="E1818" s="163" t="s">
        <v>2028</v>
      </c>
    </row>
    <row r="1819" spans="1:17" ht="12.75">
      <c r="A1819" s="3" t="s">
        <v>2029</v>
      </c>
      <c r="B1819" s="11" t="s">
        <v>2030</v>
      </c>
      <c r="E1819" s="3" t="s">
        <v>2791</v>
      </c>
      <c r="F1819" s="19">
        <v>727471</v>
      </c>
      <c r="G1819" s="19">
        <v>0</v>
      </c>
      <c r="H1819" s="19">
        <v>0</v>
      </c>
      <c r="I1819" s="8">
        <v>0</v>
      </c>
      <c r="J1819" s="9">
        <v>693001</v>
      </c>
      <c r="K1819" s="9">
        <v>878440</v>
      </c>
      <c r="L1819" s="9">
        <v>0</v>
      </c>
      <c r="N1819" s="9">
        <v>0</v>
      </c>
      <c r="O1819" s="9">
        <v>974000</v>
      </c>
      <c r="P1819" s="9">
        <v>0</v>
      </c>
      <c r="Q1819" s="9">
        <v>850000</v>
      </c>
    </row>
    <row r="1820" ht="12.75">
      <c r="J1820" s="10"/>
    </row>
    <row r="1821" spans="5:18" ht="12.75">
      <c r="E1821" s="2" t="s">
        <v>2031</v>
      </c>
      <c r="F1821" s="31">
        <f aca="true" t="shared" si="365" ref="F1821:L1821">F1819</f>
        <v>727471</v>
      </c>
      <c r="G1821" s="31">
        <f t="shared" si="365"/>
        <v>0</v>
      </c>
      <c r="H1821" s="31">
        <f t="shared" si="365"/>
        <v>0</v>
      </c>
      <c r="I1821" s="28">
        <f t="shared" si="365"/>
        <v>0</v>
      </c>
      <c r="J1821" s="28">
        <f t="shared" si="365"/>
        <v>693001</v>
      </c>
      <c r="K1821" s="28">
        <f t="shared" si="365"/>
        <v>878440</v>
      </c>
      <c r="L1821" s="32">
        <f t="shared" si="365"/>
        <v>0</v>
      </c>
      <c r="M1821" s="32">
        <f aca="true" t="shared" si="366" ref="M1821:R1821">M1819</f>
        <v>0</v>
      </c>
      <c r="N1821" s="32">
        <f t="shared" si="366"/>
        <v>0</v>
      </c>
      <c r="O1821" s="32">
        <f t="shared" si="366"/>
        <v>974000</v>
      </c>
      <c r="P1821" s="32">
        <f t="shared" si="366"/>
        <v>0</v>
      </c>
      <c r="Q1821" s="32">
        <f t="shared" si="366"/>
        <v>850000</v>
      </c>
      <c r="R1821" s="32">
        <f t="shared" si="366"/>
        <v>0</v>
      </c>
    </row>
    <row r="1823" ht="12.75">
      <c r="E1823" s="163" t="s">
        <v>2032</v>
      </c>
    </row>
    <row r="1824" spans="1:12" ht="12.75" hidden="1">
      <c r="A1824" s="3" t="s">
        <v>2033</v>
      </c>
      <c r="B1824" s="11" t="s">
        <v>2034</v>
      </c>
      <c r="E1824" s="3" t="s">
        <v>2035</v>
      </c>
      <c r="F1824" s="19">
        <v>64082</v>
      </c>
      <c r="G1824" s="19">
        <v>64082</v>
      </c>
      <c r="H1824" s="19">
        <v>48063</v>
      </c>
      <c r="I1824" s="8">
        <v>0</v>
      </c>
      <c r="J1824" s="10">
        <v>0</v>
      </c>
      <c r="L1824" s="9">
        <v>0</v>
      </c>
    </row>
    <row r="1825" spans="3:10" ht="12.75">
      <c r="C1825" s="196">
        <v>18202</v>
      </c>
      <c r="D1825" s="196"/>
      <c r="J1825" s="10"/>
    </row>
    <row r="1826" spans="1:17" ht="12.75">
      <c r="A1826" s="3" t="s">
        <v>2036</v>
      </c>
      <c r="B1826" s="11" t="s">
        <v>2037</v>
      </c>
      <c r="C1826" s="36">
        <v>563100</v>
      </c>
      <c r="E1826" s="3" t="s">
        <v>2038</v>
      </c>
      <c r="F1826" s="19">
        <v>5814</v>
      </c>
      <c r="G1826" s="19">
        <v>6771</v>
      </c>
      <c r="H1826" s="19">
        <v>6921</v>
      </c>
      <c r="I1826" s="8">
        <v>0</v>
      </c>
      <c r="J1826" s="9">
        <v>0</v>
      </c>
      <c r="L1826" s="9">
        <v>10483</v>
      </c>
      <c r="M1826" s="9">
        <v>10656</v>
      </c>
      <c r="N1826" s="9">
        <v>7310</v>
      </c>
      <c r="O1826" s="9">
        <v>16608</v>
      </c>
      <c r="P1826" s="9">
        <v>16608</v>
      </c>
      <c r="Q1826" s="9">
        <v>16608</v>
      </c>
    </row>
    <row r="1827" spans="2:17" ht="12.75">
      <c r="B1827" s="66">
        <v>7011.1</v>
      </c>
      <c r="C1827" s="49">
        <v>563200</v>
      </c>
      <c r="D1827" s="49"/>
      <c r="E1827" s="3" t="s">
        <v>2039</v>
      </c>
      <c r="F1827" s="19">
        <v>25840</v>
      </c>
      <c r="G1827" s="19">
        <v>34485</v>
      </c>
      <c r="I1827" s="8">
        <v>0</v>
      </c>
      <c r="J1827" s="9">
        <v>-182</v>
      </c>
      <c r="L1827" s="9">
        <v>3788</v>
      </c>
      <c r="N1827" s="9">
        <v>19460</v>
      </c>
      <c r="O1827" s="9">
        <v>30396</v>
      </c>
      <c r="P1827" s="9">
        <v>30396</v>
      </c>
      <c r="Q1827" s="9">
        <v>30396</v>
      </c>
    </row>
    <row r="1828" spans="1:16" ht="12.75" hidden="1">
      <c r="A1828" s="3" t="s">
        <v>2040</v>
      </c>
      <c r="B1828" s="36" t="s">
        <v>2041</v>
      </c>
      <c r="E1828" s="3" t="s">
        <v>2042</v>
      </c>
      <c r="F1828" s="19">
        <v>4440</v>
      </c>
      <c r="G1828" s="19">
        <v>0</v>
      </c>
      <c r="I1828" s="8">
        <v>0</v>
      </c>
      <c r="J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</row>
    <row r="1829" spans="1:17" ht="12.75">
      <c r="A1829" s="3" t="s">
        <v>2044</v>
      </c>
      <c r="B1829" s="11" t="s">
        <v>2045</v>
      </c>
      <c r="C1829" s="36">
        <v>563600</v>
      </c>
      <c r="E1829" s="3" t="s">
        <v>2046</v>
      </c>
      <c r="F1829" s="19">
        <v>25580</v>
      </c>
      <c r="G1829" s="19">
        <v>23086</v>
      </c>
      <c r="H1829" s="19">
        <v>25629</v>
      </c>
      <c r="I1829" s="8">
        <v>20308</v>
      </c>
      <c r="J1829" s="9">
        <v>15918</v>
      </c>
      <c r="K1829" s="8">
        <v>16583</v>
      </c>
      <c r="L1829" s="9">
        <v>15151</v>
      </c>
      <c r="M1829" s="9">
        <v>11568</v>
      </c>
      <c r="N1829" s="9">
        <v>7302</v>
      </c>
      <c r="O1829" s="9">
        <v>9355</v>
      </c>
      <c r="P1829" s="9">
        <v>9355</v>
      </c>
      <c r="Q1829" s="9">
        <v>9355</v>
      </c>
    </row>
    <row r="1830" spans="1:17" ht="12.75">
      <c r="A1830" s="3" t="s">
        <v>2048</v>
      </c>
      <c r="B1830" s="11" t="s">
        <v>2049</v>
      </c>
      <c r="C1830" s="36">
        <v>564000</v>
      </c>
      <c r="E1830" s="3" t="s">
        <v>2050</v>
      </c>
      <c r="F1830" s="19">
        <v>7243</v>
      </c>
      <c r="G1830" s="19">
        <v>7365</v>
      </c>
      <c r="H1830" s="19">
        <v>7493</v>
      </c>
      <c r="I1830" s="8">
        <v>7637</v>
      </c>
      <c r="J1830" s="9">
        <v>7862</v>
      </c>
      <c r="K1830" s="8">
        <v>8031</v>
      </c>
      <c r="L1830" s="9">
        <v>8020</v>
      </c>
      <c r="M1830" s="9">
        <v>8163</v>
      </c>
      <c r="N1830" s="9">
        <v>8385</v>
      </c>
      <c r="O1830" s="9">
        <v>8568</v>
      </c>
      <c r="P1830" s="9">
        <v>8568</v>
      </c>
      <c r="Q1830" s="9">
        <v>8568</v>
      </c>
    </row>
    <row r="1831" spans="1:17" ht="12.75">
      <c r="A1831" s="3" t="s">
        <v>2051</v>
      </c>
      <c r="B1831" s="11" t="s">
        <v>2052</v>
      </c>
      <c r="C1831" s="36">
        <v>564100</v>
      </c>
      <c r="E1831" s="3" t="s">
        <v>2054</v>
      </c>
      <c r="F1831" s="19">
        <v>5739</v>
      </c>
      <c r="G1831" s="19">
        <v>5762</v>
      </c>
      <c r="H1831" s="19">
        <v>5906</v>
      </c>
      <c r="I1831" s="8">
        <v>5983</v>
      </c>
      <c r="J1831" s="9">
        <v>6082</v>
      </c>
      <c r="K1831" s="8">
        <v>6140</v>
      </c>
      <c r="L1831" s="9">
        <v>6293</v>
      </c>
      <c r="M1831" s="9">
        <v>6343</v>
      </c>
      <c r="N1831" s="9">
        <v>6499</v>
      </c>
      <c r="O1831" s="9">
        <v>6633</v>
      </c>
      <c r="P1831" s="9">
        <v>6633</v>
      </c>
      <c r="Q1831" s="9">
        <v>6633</v>
      </c>
    </row>
    <row r="1832" spans="1:17" ht="12.75">
      <c r="A1832" s="3" t="s">
        <v>2043</v>
      </c>
      <c r="B1832" s="66">
        <v>7012.1</v>
      </c>
      <c r="C1832" s="49">
        <v>564600</v>
      </c>
      <c r="D1832" s="49"/>
      <c r="E1832" s="3" t="s">
        <v>293</v>
      </c>
      <c r="F1832" s="19">
        <v>30960</v>
      </c>
      <c r="G1832" s="19">
        <v>39780</v>
      </c>
      <c r="H1832" s="19">
        <v>33100</v>
      </c>
      <c r="I1832" s="8">
        <v>34720</v>
      </c>
      <c r="J1832" s="9">
        <v>29940</v>
      </c>
      <c r="K1832" s="8">
        <v>37440</v>
      </c>
      <c r="L1832" s="9">
        <v>36760</v>
      </c>
      <c r="M1832" s="9">
        <v>32840</v>
      </c>
      <c r="N1832" s="9">
        <v>39980</v>
      </c>
      <c r="O1832" s="9">
        <v>39980</v>
      </c>
      <c r="P1832" s="9">
        <v>39980</v>
      </c>
      <c r="Q1832" s="9">
        <v>39980</v>
      </c>
    </row>
    <row r="1833" spans="1:17" ht="12.75">
      <c r="A1833" s="3" t="s">
        <v>2062</v>
      </c>
      <c r="B1833" s="11" t="s">
        <v>2063</v>
      </c>
      <c r="C1833" s="36">
        <v>566100</v>
      </c>
      <c r="E1833" s="3" t="s">
        <v>2064</v>
      </c>
      <c r="F1833" s="19">
        <v>1480343</v>
      </c>
      <c r="G1833" s="19">
        <v>1385945</v>
      </c>
      <c r="H1833" s="19">
        <v>1386985</v>
      </c>
      <c r="I1833" s="8">
        <v>1386985</v>
      </c>
      <c r="J1833" s="9">
        <v>1393282</v>
      </c>
      <c r="K1833" s="8">
        <v>1377965</v>
      </c>
      <c r="L1833" s="9">
        <v>1369992</v>
      </c>
      <c r="M1833" s="9">
        <v>1351163</v>
      </c>
      <c r="N1833" s="9">
        <v>1337016</v>
      </c>
      <c r="O1833" s="9">
        <v>1372925</v>
      </c>
      <c r="P1833" s="9">
        <v>1372925</v>
      </c>
      <c r="Q1833" s="9">
        <v>1441571</v>
      </c>
    </row>
    <row r="1834" spans="1:17" ht="12.75">
      <c r="A1834" s="3" t="s">
        <v>2055</v>
      </c>
      <c r="B1834" s="11" t="s">
        <v>2056</v>
      </c>
      <c r="C1834" s="36">
        <v>566200</v>
      </c>
      <c r="E1834" s="3" t="s">
        <v>2057</v>
      </c>
      <c r="F1834" s="19">
        <v>800</v>
      </c>
      <c r="G1834" s="19">
        <v>800</v>
      </c>
      <c r="H1834" s="19">
        <v>764</v>
      </c>
      <c r="I1834" s="8">
        <v>764</v>
      </c>
      <c r="J1834" s="9">
        <v>723</v>
      </c>
      <c r="K1834" s="8">
        <v>723</v>
      </c>
      <c r="L1834" s="9">
        <v>657</v>
      </c>
      <c r="M1834" s="9">
        <v>657</v>
      </c>
      <c r="N1834" s="9">
        <v>697</v>
      </c>
      <c r="O1834" s="9">
        <v>697</v>
      </c>
      <c r="P1834" s="9">
        <v>697</v>
      </c>
      <c r="Q1834" s="9">
        <v>697</v>
      </c>
    </row>
    <row r="1835" spans="2:15" ht="12.75" hidden="1">
      <c r="B1835" s="11" t="s">
        <v>2058</v>
      </c>
      <c r="E1835" s="3" t="s">
        <v>2059</v>
      </c>
      <c r="F1835" s="19">
        <v>0</v>
      </c>
      <c r="G1835" s="19">
        <v>14400</v>
      </c>
      <c r="H1835" s="19">
        <v>12600</v>
      </c>
      <c r="I1835" s="8">
        <v>0</v>
      </c>
      <c r="J1835" s="9">
        <v>0</v>
      </c>
      <c r="L1835" s="9">
        <v>0</v>
      </c>
      <c r="M1835" s="9">
        <v>0</v>
      </c>
      <c r="N1835" s="9">
        <v>0</v>
      </c>
      <c r="O1835" s="9">
        <v>0</v>
      </c>
    </row>
    <row r="1836" spans="1:15" ht="12.75" hidden="1">
      <c r="A1836" s="3" t="s">
        <v>2060</v>
      </c>
      <c r="B1836" s="11" t="s">
        <v>2061</v>
      </c>
      <c r="E1836" s="3" t="s">
        <v>1449</v>
      </c>
      <c r="F1836" s="19">
        <v>0</v>
      </c>
      <c r="G1836" s="19">
        <v>0</v>
      </c>
      <c r="I1836" s="8">
        <v>0</v>
      </c>
      <c r="J1836" s="9">
        <v>0</v>
      </c>
      <c r="L1836" s="9">
        <v>0</v>
      </c>
      <c r="M1836" s="9">
        <v>0</v>
      </c>
      <c r="N1836" s="9">
        <v>0</v>
      </c>
      <c r="O1836" s="9">
        <v>0</v>
      </c>
    </row>
    <row r="1837" spans="2:15" ht="12.75">
      <c r="B1837" s="66">
        <v>7013.1</v>
      </c>
      <c r="C1837" s="49"/>
      <c r="D1837" s="49"/>
      <c r="E1837" s="3" t="s">
        <v>2047</v>
      </c>
      <c r="F1837" s="19">
        <v>0</v>
      </c>
      <c r="G1837" s="19">
        <v>8454</v>
      </c>
      <c r="H1837" s="19">
        <v>3235</v>
      </c>
      <c r="I1837" s="8">
        <v>16339</v>
      </c>
      <c r="J1837" s="9">
        <v>0</v>
      </c>
      <c r="K1837" s="8">
        <v>752</v>
      </c>
      <c r="L1837" s="9">
        <v>-752</v>
      </c>
      <c r="M1837" s="9">
        <v>0</v>
      </c>
      <c r="N1837" s="9">
        <v>0</v>
      </c>
      <c r="O1837" s="9">
        <v>0</v>
      </c>
    </row>
    <row r="1838" spans="2:15" ht="12.75">
      <c r="B1838" s="66">
        <v>7017.1</v>
      </c>
      <c r="C1838" s="49"/>
      <c r="D1838" s="49"/>
      <c r="E1838" s="3" t="s">
        <v>2837</v>
      </c>
      <c r="I1838" s="8">
        <v>18168</v>
      </c>
      <c r="J1838" s="9">
        <v>18169</v>
      </c>
      <c r="K1838" s="8">
        <v>18169</v>
      </c>
      <c r="L1838" s="9">
        <v>18169</v>
      </c>
      <c r="M1838" s="9">
        <v>18169</v>
      </c>
      <c r="N1838" s="9">
        <v>0</v>
      </c>
      <c r="O1838" s="9">
        <v>0</v>
      </c>
    </row>
    <row r="1839" spans="2:18" ht="12.75" hidden="1">
      <c r="B1839" s="11" t="s">
        <v>2065</v>
      </c>
      <c r="E1839" s="3" t="s">
        <v>2066</v>
      </c>
      <c r="F1839" s="19">
        <v>0</v>
      </c>
      <c r="I1839" s="8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0</v>
      </c>
      <c r="R1839" s="9">
        <v>0</v>
      </c>
    </row>
    <row r="1840" spans="1:18" ht="12.75" hidden="1">
      <c r="A1840" s="3" t="s">
        <v>2062</v>
      </c>
      <c r="B1840" s="11">
        <v>7020</v>
      </c>
      <c r="E1840" s="3" t="s">
        <v>2067</v>
      </c>
      <c r="F1840" s="19">
        <v>0</v>
      </c>
      <c r="I1840" s="8">
        <v>0</v>
      </c>
      <c r="J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0</v>
      </c>
      <c r="R1840" s="9">
        <v>0</v>
      </c>
    </row>
    <row r="1841" spans="2:18" ht="12.75" hidden="1">
      <c r="B1841" s="11">
        <v>7021</v>
      </c>
      <c r="E1841" s="3" t="s">
        <v>2068</v>
      </c>
      <c r="F1841" s="19">
        <v>0</v>
      </c>
      <c r="I1841" s="8">
        <v>0</v>
      </c>
      <c r="J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</row>
    <row r="1842" spans="12:18" ht="12.75"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0</v>
      </c>
      <c r="R1842" s="9">
        <v>0</v>
      </c>
    </row>
    <row r="1843" spans="1:18" ht="12.75">
      <c r="A1843" s="20"/>
      <c r="B1843" s="51"/>
      <c r="C1843" s="196"/>
      <c r="D1843" s="196"/>
      <c r="E1843" s="55" t="s">
        <v>2069</v>
      </c>
      <c r="F1843" s="21">
        <f aca="true" t="shared" si="367" ref="F1843:K1843">SUM(F1824:F1841)</f>
        <v>1650841</v>
      </c>
      <c r="G1843" s="21">
        <f t="shared" si="367"/>
        <v>1590930</v>
      </c>
      <c r="H1843" s="21">
        <f t="shared" si="367"/>
        <v>1530696</v>
      </c>
      <c r="I1843" s="22">
        <f t="shared" si="367"/>
        <v>1490904</v>
      </c>
      <c r="J1843" s="23">
        <f t="shared" si="367"/>
        <v>1471794</v>
      </c>
      <c r="K1843" s="23">
        <f t="shared" si="367"/>
        <v>1465803</v>
      </c>
      <c r="L1843" s="7">
        <f aca="true" t="shared" si="368" ref="L1843:R1843">SUM(L1824:L1842)</f>
        <v>1468561</v>
      </c>
      <c r="M1843" s="7">
        <f t="shared" si="368"/>
        <v>1439559</v>
      </c>
      <c r="N1843" s="7">
        <f t="shared" si="368"/>
        <v>1426649</v>
      </c>
      <c r="O1843" s="7">
        <f t="shared" si="368"/>
        <v>1485162</v>
      </c>
      <c r="P1843" s="7">
        <f t="shared" si="368"/>
        <v>1485162</v>
      </c>
      <c r="Q1843" s="7">
        <f t="shared" si="368"/>
        <v>1553808</v>
      </c>
      <c r="R1843" s="7">
        <f t="shared" si="368"/>
        <v>0</v>
      </c>
    </row>
    <row r="1844" ht="12.75">
      <c r="E1844" s="38"/>
    </row>
    <row r="1845" spans="2:18" ht="12.75" hidden="1">
      <c r="B1845" s="50" t="s">
        <v>796</v>
      </c>
      <c r="C1845" s="49"/>
      <c r="D1845" s="49"/>
      <c r="E1845" s="3" t="s">
        <v>797</v>
      </c>
      <c r="J1845" s="9">
        <v>1467473.24</v>
      </c>
      <c r="N1845" s="9">
        <v>0</v>
      </c>
      <c r="O1845" s="9">
        <v>0</v>
      </c>
      <c r="P1845" s="9">
        <v>0</v>
      </c>
      <c r="Q1845" s="9">
        <v>0</v>
      </c>
      <c r="R1845" s="9">
        <v>0</v>
      </c>
    </row>
    <row r="1846" spans="2:18" ht="12.75" hidden="1">
      <c r="B1846" s="11">
        <v>7098</v>
      </c>
      <c r="E1846" s="3" t="s">
        <v>2926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0</v>
      </c>
      <c r="R1846" s="9">
        <v>0</v>
      </c>
    </row>
    <row r="1847" spans="1:18" ht="12.75" hidden="1">
      <c r="A1847" s="20"/>
      <c r="B1847" s="51"/>
      <c r="C1847" s="196"/>
      <c r="D1847" s="196"/>
      <c r="E1847" s="55" t="s">
        <v>2069</v>
      </c>
      <c r="F1847" s="21">
        <f>SUM(F1829:F1845)</f>
        <v>3201506</v>
      </c>
      <c r="G1847" s="21">
        <f>SUM(G1829:G1845)</f>
        <v>3076522</v>
      </c>
      <c r="H1847" s="21">
        <f>SUM(H1829:H1845)</f>
        <v>3006408</v>
      </c>
      <c r="I1847" s="22">
        <f aca="true" t="shared" si="369" ref="I1847:N1847">SUM(I1845:I1846)</f>
        <v>0</v>
      </c>
      <c r="J1847" s="22">
        <f t="shared" si="369"/>
        <v>1467473.24</v>
      </c>
      <c r="K1847" s="22">
        <f t="shared" si="369"/>
        <v>0</v>
      </c>
      <c r="L1847" s="22">
        <f t="shared" si="369"/>
        <v>0</v>
      </c>
      <c r="M1847" s="22">
        <f t="shared" si="369"/>
        <v>0</v>
      </c>
      <c r="N1847" s="22">
        <f t="shared" si="369"/>
        <v>0</v>
      </c>
      <c r="O1847" s="22">
        <f>SUM(O1845:O1846)</f>
        <v>0</v>
      </c>
      <c r="P1847" s="22">
        <f>SUM(P1845:P1846)</f>
        <v>0</v>
      </c>
      <c r="Q1847" s="22">
        <f>SUM(Q1845:Q1846)</f>
        <v>0</v>
      </c>
      <c r="R1847" s="22">
        <f>SUM(R1845:R1846)</f>
        <v>0</v>
      </c>
    </row>
    <row r="1848" spans="1:18" ht="12.75">
      <c r="A1848" s="20"/>
      <c r="B1848" s="51"/>
      <c r="C1848" s="196"/>
      <c r="D1848" s="196"/>
      <c r="E1848" s="55" t="s">
        <v>2070</v>
      </c>
      <c r="F1848" s="21">
        <f>SUM(F1843:F1844)</f>
        <v>1650841</v>
      </c>
      <c r="G1848" s="21">
        <f>SUM(G1843:G1844)</f>
        <v>1590930</v>
      </c>
      <c r="H1848" s="21">
        <f>SUM(H1843:H1844)</f>
        <v>1530696</v>
      </c>
      <c r="I1848" s="22">
        <f>SUM(I1843:I1844)</f>
        <v>1490904</v>
      </c>
      <c r="J1848" s="22">
        <f aca="true" t="shared" si="370" ref="J1848:R1848">+J1847+J1843</f>
        <v>2939267.24</v>
      </c>
      <c r="K1848" s="22">
        <f t="shared" si="370"/>
        <v>1465803</v>
      </c>
      <c r="L1848" s="22">
        <f t="shared" si="370"/>
        <v>1468561</v>
      </c>
      <c r="M1848" s="22">
        <f t="shared" si="370"/>
        <v>1439559</v>
      </c>
      <c r="N1848" s="22">
        <f t="shared" si="370"/>
        <v>1426649</v>
      </c>
      <c r="O1848" s="22">
        <f t="shared" si="370"/>
        <v>1485162</v>
      </c>
      <c r="P1848" s="22">
        <f t="shared" si="370"/>
        <v>1485162</v>
      </c>
      <c r="Q1848" s="22">
        <f t="shared" si="370"/>
        <v>1553808</v>
      </c>
      <c r="R1848" s="22">
        <f t="shared" si="370"/>
        <v>0</v>
      </c>
    </row>
    <row r="1849" spans="1:10" ht="12.75">
      <c r="A1849" s="20"/>
      <c r="B1849" s="51"/>
      <c r="C1849" s="196"/>
      <c r="D1849" s="196"/>
      <c r="E1849" s="55"/>
      <c r="F1849" s="21"/>
      <c r="G1849" s="21"/>
      <c r="H1849" s="21"/>
      <c r="I1849" s="22"/>
      <c r="J1849" s="10"/>
    </row>
    <row r="1850" spans="1:8" ht="12.75">
      <c r="A1850" s="84"/>
      <c r="B1850" s="51"/>
      <c r="C1850" s="196"/>
      <c r="D1850" s="196"/>
      <c r="E1850" s="150" t="s">
        <v>2001</v>
      </c>
      <c r="F1850" s="21"/>
      <c r="G1850" s="21"/>
      <c r="H1850" s="21"/>
    </row>
    <row r="1851" spans="1:18" ht="12.75">
      <c r="A1851" s="85" t="s">
        <v>2071</v>
      </c>
      <c r="B1851" s="11" t="s">
        <v>2071</v>
      </c>
      <c r="C1851" s="36">
        <v>1100</v>
      </c>
      <c r="E1851" s="3" t="s">
        <v>2072</v>
      </c>
      <c r="F1851" s="37">
        <f aca="true" t="shared" si="371" ref="F1851:L1851">F18</f>
        <v>8586</v>
      </c>
      <c r="G1851" s="37">
        <f t="shared" si="371"/>
        <v>9439.65</v>
      </c>
      <c r="H1851" s="37">
        <f t="shared" si="371"/>
        <v>6734.41</v>
      </c>
      <c r="I1851" s="8">
        <f t="shared" si="371"/>
        <v>8000.9000000000015</v>
      </c>
      <c r="J1851" s="8">
        <f t="shared" si="371"/>
        <v>11964.44</v>
      </c>
      <c r="K1851" s="8">
        <f t="shared" si="371"/>
        <v>3672.84</v>
      </c>
      <c r="L1851" s="9">
        <f t="shared" si="371"/>
        <v>13707.08</v>
      </c>
      <c r="M1851" s="9">
        <f aca="true" t="shared" si="372" ref="M1851:R1851">M18</f>
        <v>9139.28</v>
      </c>
      <c r="N1851" s="9">
        <f t="shared" si="372"/>
        <v>7716.92</v>
      </c>
      <c r="O1851" s="9">
        <f t="shared" si="372"/>
        <v>11200</v>
      </c>
      <c r="P1851" s="9">
        <f t="shared" si="372"/>
        <v>11200</v>
      </c>
      <c r="Q1851" s="9">
        <f t="shared" si="372"/>
        <v>11200</v>
      </c>
      <c r="R1851" s="9">
        <f t="shared" si="372"/>
        <v>0</v>
      </c>
    </row>
    <row r="1852" spans="1:18" ht="12.75">
      <c r="A1852" s="85" t="s">
        <v>2073</v>
      </c>
      <c r="B1852" s="11" t="s">
        <v>2073</v>
      </c>
      <c r="C1852" s="36">
        <v>1620</v>
      </c>
      <c r="E1852" s="3" t="s">
        <v>2074</v>
      </c>
      <c r="F1852" s="37">
        <f aca="true" t="shared" si="373" ref="F1852:L1852">F52</f>
        <v>74778.5</v>
      </c>
      <c r="G1852" s="37">
        <f t="shared" si="373"/>
        <v>50235.965</v>
      </c>
      <c r="H1852" s="37">
        <f t="shared" si="373"/>
        <v>77549.27</v>
      </c>
      <c r="I1852" s="8">
        <f t="shared" si="373"/>
        <v>89869.60206500001</v>
      </c>
      <c r="J1852" s="8" t="e">
        <f t="shared" si="373"/>
        <v>#REF!</v>
      </c>
      <c r="K1852" s="8" t="e">
        <f t="shared" si="373"/>
        <v>#REF!</v>
      </c>
      <c r="L1852" s="9">
        <f t="shared" si="373"/>
        <v>119195.78</v>
      </c>
      <c r="M1852" s="9">
        <f aca="true" t="shared" si="374" ref="M1852:R1852">M52</f>
        <v>134867.75</v>
      </c>
      <c r="N1852" s="9">
        <f t="shared" si="374"/>
        <v>120601.29000000001</v>
      </c>
      <c r="O1852" s="9">
        <f t="shared" si="374"/>
        <v>152489</v>
      </c>
      <c r="P1852" s="9">
        <f t="shared" si="374"/>
        <v>141705</v>
      </c>
      <c r="Q1852" s="9">
        <f t="shared" si="374"/>
        <v>153192</v>
      </c>
      <c r="R1852" s="9">
        <f t="shared" si="374"/>
        <v>0</v>
      </c>
    </row>
    <row r="1853" spans="1:18" ht="12.75">
      <c r="A1853" s="85" t="s">
        <v>2075</v>
      </c>
      <c r="B1853" s="11" t="s">
        <v>2075</v>
      </c>
      <c r="C1853" s="36">
        <v>1610</v>
      </c>
      <c r="E1853" s="3" t="s">
        <v>2280</v>
      </c>
      <c r="F1853" s="37">
        <f aca="true" t="shared" si="375" ref="F1853:L1853">F87</f>
        <v>101679.5</v>
      </c>
      <c r="G1853" s="37">
        <f t="shared" si="375"/>
        <v>112095.24999999999</v>
      </c>
      <c r="H1853" s="37">
        <f t="shared" si="375"/>
        <v>95723.40999999999</v>
      </c>
      <c r="I1853" s="8">
        <f t="shared" si="375"/>
        <v>111189.83499999999</v>
      </c>
      <c r="J1853" s="8" t="e">
        <f t="shared" si="375"/>
        <v>#REF!</v>
      </c>
      <c r="K1853" s="8" t="e">
        <f t="shared" si="375"/>
        <v>#REF!</v>
      </c>
      <c r="L1853" s="9">
        <f t="shared" si="375"/>
        <v>118420.65000000001</v>
      </c>
      <c r="M1853" s="9">
        <f aca="true" t="shared" si="376" ref="M1853:R1853">M87</f>
        <v>112583.94</v>
      </c>
      <c r="N1853" s="9">
        <f t="shared" si="376"/>
        <v>121349.77</v>
      </c>
      <c r="O1853" s="9">
        <f t="shared" si="376"/>
        <v>140006</v>
      </c>
      <c r="P1853" s="9">
        <f t="shared" si="376"/>
        <v>139906</v>
      </c>
      <c r="Q1853" s="213">
        <f t="shared" si="376"/>
        <v>141311</v>
      </c>
      <c r="R1853" s="9">
        <f t="shared" si="376"/>
        <v>0</v>
      </c>
    </row>
    <row r="1854" spans="1:18" ht="12.75">
      <c r="A1854" s="85" t="s">
        <v>2076</v>
      </c>
      <c r="B1854" s="11" t="s">
        <v>2076</v>
      </c>
      <c r="C1854" s="36">
        <v>1220</v>
      </c>
      <c r="E1854" s="3" t="s">
        <v>2361</v>
      </c>
      <c r="F1854" s="37">
        <f aca="true" t="shared" si="377" ref="F1854:L1854">F110</f>
        <v>46292</v>
      </c>
      <c r="G1854" s="37">
        <f t="shared" si="377"/>
        <v>60434.83</v>
      </c>
      <c r="H1854" s="37">
        <f t="shared" si="377"/>
        <v>104296.85</v>
      </c>
      <c r="I1854" s="8">
        <f t="shared" si="377"/>
        <v>97117.64499999999</v>
      </c>
      <c r="J1854" s="8">
        <f t="shared" si="377"/>
        <v>1602409.0350000001</v>
      </c>
      <c r="K1854" s="8">
        <f t="shared" si="377"/>
        <v>119419.68000000001</v>
      </c>
      <c r="L1854" s="9">
        <f t="shared" si="377"/>
        <v>122994.96</v>
      </c>
      <c r="M1854" s="9">
        <f aca="true" t="shared" si="378" ref="M1854:R1854">M110</f>
        <v>105104.96999999999</v>
      </c>
      <c r="N1854" s="9">
        <f t="shared" si="378"/>
        <v>110684.45</v>
      </c>
      <c r="O1854" s="9">
        <f t="shared" si="378"/>
        <v>116118</v>
      </c>
      <c r="P1854" s="9">
        <f t="shared" si="378"/>
        <v>69498</v>
      </c>
      <c r="Q1854" s="9">
        <f t="shared" si="378"/>
        <v>44624</v>
      </c>
      <c r="R1854" s="9">
        <f t="shared" si="378"/>
        <v>0</v>
      </c>
    </row>
    <row r="1855" spans="1:18" ht="12.75">
      <c r="A1855" s="85" t="s">
        <v>2077</v>
      </c>
      <c r="B1855" s="11" t="s">
        <v>2077</v>
      </c>
      <c r="C1855" s="36">
        <v>1970</v>
      </c>
      <c r="E1855" s="3" t="s">
        <v>2400</v>
      </c>
      <c r="F1855" s="37">
        <f aca="true" t="shared" si="379" ref="F1855:L1855">F123</f>
        <v>7233</v>
      </c>
      <c r="G1855" s="37">
        <f t="shared" si="379"/>
        <v>7539.12</v>
      </c>
      <c r="H1855" s="37">
        <f t="shared" si="379"/>
        <v>7494.09</v>
      </c>
      <c r="I1855" s="8">
        <f t="shared" si="379"/>
        <v>6214.950000000001</v>
      </c>
      <c r="J1855" s="8">
        <f t="shared" si="379"/>
        <v>12248.64</v>
      </c>
      <c r="K1855" s="8">
        <f t="shared" si="379"/>
        <v>17318.73</v>
      </c>
      <c r="L1855" s="9">
        <f t="shared" si="379"/>
        <v>16190.96</v>
      </c>
      <c r="M1855" s="9">
        <f aca="true" t="shared" si="380" ref="M1855:R1855">M123</f>
        <v>4788</v>
      </c>
      <c r="N1855" s="9">
        <f t="shared" si="380"/>
        <v>1790</v>
      </c>
      <c r="O1855" s="9">
        <f t="shared" si="380"/>
        <v>7200</v>
      </c>
      <c r="P1855" s="9">
        <f t="shared" si="380"/>
        <v>6760</v>
      </c>
      <c r="Q1855" s="9">
        <f t="shared" si="380"/>
        <v>8466</v>
      </c>
      <c r="R1855" s="9">
        <f t="shared" si="380"/>
        <v>0</v>
      </c>
    </row>
    <row r="1856" spans="1:18" ht="12.75">
      <c r="A1856" s="85" t="s">
        <v>2078</v>
      </c>
      <c r="B1856" s="11" t="s">
        <v>2078</v>
      </c>
      <c r="C1856" s="36">
        <v>1980</v>
      </c>
      <c r="E1856" s="3" t="s">
        <v>2079</v>
      </c>
      <c r="F1856" s="37">
        <f aca="true" t="shared" si="381" ref="F1856:L1856">F147</f>
        <v>152100</v>
      </c>
      <c r="G1856" s="37">
        <f t="shared" si="381"/>
        <v>124374.74500000001</v>
      </c>
      <c r="H1856" s="37">
        <f t="shared" si="381"/>
        <v>9724.495</v>
      </c>
      <c r="I1856" s="8">
        <f t="shared" si="381"/>
        <v>29335.595</v>
      </c>
      <c r="J1856" s="8">
        <f t="shared" si="381"/>
        <v>15940.269999999999</v>
      </c>
      <c r="K1856" s="8">
        <f t="shared" si="381"/>
        <v>15043.02</v>
      </c>
      <c r="L1856" s="9">
        <f t="shared" si="381"/>
        <v>15592.849999999999</v>
      </c>
      <c r="M1856" s="9">
        <f aca="true" t="shared" si="382" ref="M1856:R1856">M147</f>
        <v>19392.17</v>
      </c>
      <c r="N1856" s="9">
        <f t="shared" si="382"/>
        <v>18347.55</v>
      </c>
      <c r="O1856" s="9">
        <f t="shared" si="382"/>
        <v>19277</v>
      </c>
      <c r="P1856" s="9">
        <f t="shared" si="382"/>
        <v>20040</v>
      </c>
      <c r="Q1856" s="9">
        <f t="shared" si="382"/>
        <v>20152</v>
      </c>
      <c r="R1856" s="9">
        <f t="shared" si="382"/>
        <v>0</v>
      </c>
    </row>
    <row r="1857" spans="1:18" ht="12.75">
      <c r="A1857" s="85" t="s">
        <v>2080</v>
      </c>
      <c r="B1857" s="11" t="s">
        <v>2080</v>
      </c>
      <c r="C1857" s="36">
        <v>1230</v>
      </c>
      <c r="E1857" s="3" t="s">
        <v>2435</v>
      </c>
      <c r="F1857" s="37">
        <f aca="true" t="shared" si="383" ref="F1857:L1857">F186</f>
        <v>284012</v>
      </c>
      <c r="G1857" s="37">
        <f t="shared" si="383"/>
        <v>225998.515</v>
      </c>
      <c r="H1857" s="37">
        <f t="shared" si="383"/>
        <v>200485.03000000003</v>
      </c>
      <c r="I1857" s="8">
        <f t="shared" si="383"/>
        <v>194933.34000000003</v>
      </c>
      <c r="J1857" s="8">
        <f t="shared" si="383"/>
        <v>215781.97</v>
      </c>
      <c r="K1857" s="8">
        <f t="shared" si="383"/>
        <v>221412.19499999998</v>
      </c>
      <c r="L1857" s="9">
        <f t="shared" si="383"/>
        <v>225319.80000000002</v>
      </c>
      <c r="M1857" s="9">
        <f aca="true" t="shared" si="384" ref="M1857:R1857">M186</f>
        <v>250210.46</v>
      </c>
      <c r="N1857" s="9">
        <f t="shared" si="384"/>
        <v>240804.44</v>
      </c>
      <c r="O1857" s="9">
        <f t="shared" si="384"/>
        <v>249049</v>
      </c>
      <c r="P1857" s="9">
        <f t="shared" si="384"/>
        <v>295585</v>
      </c>
      <c r="Q1857" s="9">
        <f t="shared" si="384"/>
        <v>314706</v>
      </c>
      <c r="R1857" s="9">
        <f t="shared" si="384"/>
        <v>0</v>
      </c>
    </row>
    <row r="1858" spans="1:18" ht="12.75">
      <c r="A1858" s="85"/>
      <c r="B1858" s="86" t="s">
        <v>2080</v>
      </c>
      <c r="C1858" s="36">
        <v>1550</v>
      </c>
      <c r="E1858" s="3" t="s">
        <v>917</v>
      </c>
      <c r="F1858" s="37"/>
      <c r="G1858" s="37"/>
      <c r="H1858" s="37"/>
      <c r="J1858" s="8"/>
      <c r="L1858" s="9">
        <f aca="true" t="shared" si="385" ref="L1858:R1858">L220</f>
        <v>145167</v>
      </c>
      <c r="M1858" s="9">
        <f t="shared" si="385"/>
        <v>163465.72999999998</v>
      </c>
      <c r="N1858" s="9">
        <f t="shared" si="385"/>
        <v>340524.77</v>
      </c>
      <c r="O1858" s="9">
        <f t="shared" si="385"/>
        <v>410065</v>
      </c>
      <c r="P1858" s="9">
        <f>P220</f>
        <v>385168</v>
      </c>
      <c r="Q1858" s="9">
        <f t="shared" si="385"/>
        <v>513745</v>
      </c>
      <c r="R1858" s="9">
        <f t="shared" si="385"/>
        <v>0</v>
      </c>
    </row>
    <row r="1859" spans="1:19" ht="12.75">
      <c r="A1859" s="87" t="s">
        <v>2081</v>
      </c>
      <c r="B1859" s="11" t="s">
        <v>2081</v>
      </c>
      <c r="C1859" s="36">
        <v>1520</v>
      </c>
      <c r="E1859" s="3" t="s">
        <v>2632</v>
      </c>
      <c r="F1859" s="37">
        <f aca="true" t="shared" si="386" ref="F1859:L1859">F258</f>
        <v>965</v>
      </c>
      <c r="G1859" s="37">
        <f t="shared" si="386"/>
        <v>169360.38499999998</v>
      </c>
      <c r="H1859" s="37">
        <f t="shared" si="386"/>
        <v>225149.45500000002</v>
      </c>
      <c r="I1859" s="8">
        <f t="shared" si="386"/>
        <v>206413.71000000002</v>
      </c>
      <c r="J1859" s="8">
        <f t="shared" si="386"/>
        <v>199305.07499999998</v>
      </c>
      <c r="K1859" s="8">
        <f t="shared" si="386"/>
        <v>187323.2</v>
      </c>
      <c r="L1859" s="9">
        <f t="shared" si="386"/>
        <v>179750.21000000002</v>
      </c>
      <c r="M1859" s="9">
        <f aca="true" t="shared" si="387" ref="M1859:R1859">M258</f>
        <v>202056.36</v>
      </c>
      <c r="N1859" s="9">
        <f t="shared" si="387"/>
        <v>204986.38999999998</v>
      </c>
      <c r="O1859" s="9">
        <f t="shared" si="387"/>
        <v>239657</v>
      </c>
      <c r="P1859" s="9">
        <f t="shared" si="387"/>
        <v>233810</v>
      </c>
      <c r="Q1859" s="213">
        <f t="shared" si="387"/>
        <v>258534</v>
      </c>
      <c r="R1859" s="9">
        <f t="shared" si="387"/>
        <v>0</v>
      </c>
      <c r="S1859" s="8" t="s">
        <v>2180</v>
      </c>
    </row>
    <row r="1860" spans="1:18" ht="12.75">
      <c r="A1860" s="85" t="s">
        <v>2082</v>
      </c>
      <c r="B1860" s="11" t="s">
        <v>2082</v>
      </c>
      <c r="C1860" s="36">
        <v>1510</v>
      </c>
      <c r="E1860" s="3" t="s">
        <v>2664</v>
      </c>
      <c r="F1860" s="9">
        <f aca="true" t="shared" si="388" ref="F1860:M1860">F193</f>
        <v>85052</v>
      </c>
      <c r="G1860" s="9">
        <f t="shared" si="388"/>
        <v>118529.37499999999</v>
      </c>
      <c r="H1860" s="9">
        <f t="shared" si="388"/>
        <v>127945.13</v>
      </c>
      <c r="I1860" s="9">
        <f t="shared" si="388"/>
        <v>115604.505</v>
      </c>
      <c r="J1860" s="9">
        <f t="shared" si="388"/>
        <v>116339.33000000002</v>
      </c>
      <c r="K1860" s="9">
        <f t="shared" si="388"/>
        <v>196203.18999999997</v>
      </c>
      <c r="L1860" s="9">
        <f t="shared" si="388"/>
        <v>582244.45</v>
      </c>
      <c r="M1860" s="9">
        <f t="shared" si="388"/>
        <v>259793.56</v>
      </c>
      <c r="N1860" s="9">
        <f>N193</f>
        <v>230623.59</v>
      </c>
      <c r="O1860" s="9">
        <f>O193</f>
        <v>295000</v>
      </c>
      <c r="P1860" s="9">
        <f>P193</f>
        <v>295000</v>
      </c>
      <c r="Q1860" s="9">
        <f>Q193</f>
        <v>295000</v>
      </c>
      <c r="R1860" s="9">
        <f>R193</f>
        <v>0</v>
      </c>
    </row>
    <row r="1861" spans="1:18" ht="12.75">
      <c r="A1861" s="85" t="s">
        <v>2090</v>
      </c>
      <c r="B1861" s="11" t="s">
        <v>2090</v>
      </c>
      <c r="C1861" s="36">
        <v>1320</v>
      </c>
      <c r="E1861" s="3" t="s">
        <v>2897</v>
      </c>
      <c r="F1861" s="37" t="e">
        <f>#REF!</f>
        <v>#REF!</v>
      </c>
      <c r="G1861" s="37" t="e">
        <f>#REF!</f>
        <v>#REF!</v>
      </c>
      <c r="H1861" s="37" t="e">
        <f>#REF!</f>
        <v>#REF!</v>
      </c>
      <c r="I1861" s="8" t="e">
        <f>#REF!</f>
        <v>#REF!</v>
      </c>
      <c r="J1861" s="8" t="e">
        <f>#REF!</f>
        <v>#REF!</v>
      </c>
      <c r="K1861" s="8" t="e">
        <f>#REF!</f>
        <v>#REF!</v>
      </c>
      <c r="L1861" s="9">
        <f aca="true" t="shared" si="389" ref="L1861:Q1861">L299</f>
        <v>0</v>
      </c>
      <c r="M1861" s="9">
        <f t="shared" si="389"/>
        <v>0</v>
      </c>
      <c r="N1861" s="9">
        <f t="shared" si="389"/>
        <v>0</v>
      </c>
      <c r="O1861" s="9">
        <f t="shared" si="389"/>
        <v>400000</v>
      </c>
      <c r="P1861" s="9">
        <f t="shared" si="389"/>
        <v>0</v>
      </c>
      <c r="Q1861" s="9">
        <f t="shared" si="389"/>
        <v>400000</v>
      </c>
      <c r="R1861" s="9">
        <v>400000</v>
      </c>
    </row>
    <row r="1862" spans="1:18" ht="12.75">
      <c r="A1862" s="85" t="s">
        <v>2083</v>
      </c>
      <c r="B1862" s="11" t="s">
        <v>2083</v>
      </c>
      <c r="C1862" s="36">
        <v>1350</v>
      </c>
      <c r="E1862" s="3" t="s">
        <v>2084</v>
      </c>
      <c r="F1862" s="37">
        <f aca="true" t="shared" si="390" ref="F1862:L1862">F294</f>
        <v>165313.5</v>
      </c>
      <c r="G1862" s="37">
        <f t="shared" si="390"/>
        <v>166682.27000000002</v>
      </c>
      <c r="H1862" s="37">
        <f t="shared" si="390"/>
        <v>182683.78</v>
      </c>
      <c r="I1862" s="8">
        <f t="shared" si="390"/>
        <v>181147.56999999998</v>
      </c>
      <c r="J1862" s="8">
        <f t="shared" si="390"/>
        <v>161741.99499999997</v>
      </c>
      <c r="K1862" s="8">
        <f t="shared" si="390"/>
        <v>180670.54</v>
      </c>
      <c r="L1862" s="9">
        <f t="shared" si="390"/>
        <v>240740.06</v>
      </c>
      <c r="M1862" s="9">
        <f aca="true" t="shared" si="391" ref="M1862:R1862">M294</f>
        <v>245939.12000000005</v>
      </c>
      <c r="N1862" s="9">
        <f t="shared" si="391"/>
        <v>277403.45</v>
      </c>
      <c r="O1862" s="9">
        <f t="shared" si="391"/>
        <v>291575</v>
      </c>
      <c r="P1862" s="9">
        <f t="shared" si="391"/>
        <v>296810</v>
      </c>
      <c r="Q1862" s="9">
        <f t="shared" si="391"/>
        <v>320835</v>
      </c>
      <c r="R1862" s="9">
        <f t="shared" si="391"/>
        <v>56600</v>
      </c>
    </row>
    <row r="1863" spans="1:18" ht="12.75">
      <c r="A1863" s="85" t="s">
        <v>2085</v>
      </c>
      <c r="B1863" s="11" t="s">
        <v>2085</v>
      </c>
      <c r="C1863" s="36">
        <v>1410</v>
      </c>
      <c r="E1863" s="3" t="s">
        <v>2086</v>
      </c>
      <c r="F1863" s="37">
        <f aca="true" t="shared" si="392" ref="F1863:L1863">F327</f>
        <v>228887</v>
      </c>
      <c r="G1863" s="37">
        <f t="shared" si="392"/>
        <v>237045.33999999997</v>
      </c>
      <c r="H1863" s="37">
        <f t="shared" si="392"/>
        <v>244664.965</v>
      </c>
      <c r="I1863" s="8">
        <f t="shared" si="392"/>
        <v>254209.54500000004</v>
      </c>
      <c r="J1863" s="8">
        <f t="shared" si="392"/>
        <v>259497.85</v>
      </c>
      <c r="K1863" s="8">
        <f t="shared" si="392"/>
        <v>294342.07499999995</v>
      </c>
      <c r="L1863" s="9">
        <f t="shared" si="392"/>
        <v>320908.54</v>
      </c>
      <c r="M1863" s="9">
        <f aca="true" t="shared" si="393" ref="M1863:R1863">M327</f>
        <v>317733.8</v>
      </c>
      <c r="N1863" s="9">
        <f t="shared" si="393"/>
        <v>322012.15</v>
      </c>
      <c r="O1863" s="9">
        <f t="shared" si="393"/>
        <v>338855</v>
      </c>
      <c r="P1863" s="9">
        <f t="shared" si="393"/>
        <v>339957</v>
      </c>
      <c r="Q1863" s="9">
        <f t="shared" si="393"/>
        <v>358261</v>
      </c>
      <c r="R1863" s="9">
        <f t="shared" si="393"/>
        <v>0</v>
      </c>
    </row>
    <row r="1864" spans="1:18" ht="12.75">
      <c r="A1864" s="85" t="s">
        <v>2087</v>
      </c>
      <c r="B1864" s="11" t="s">
        <v>2087</v>
      </c>
      <c r="C1864" s="36">
        <v>1450</v>
      </c>
      <c r="E1864" s="3" t="s">
        <v>2088</v>
      </c>
      <c r="F1864" s="37">
        <f aca="true" t="shared" si="394" ref="F1864:L1864">F364</f>
        <v>378195</v>
      </c>
      <c r="G1864" s="37">
        <f t="shared" si="394"/>
        <v>353858.37499999994</v>
      </c>
      <c r="H1864" s="37">
        <f t="shared" si="394"/>
        <v>334335.00499999995</v>
      </c>
      <c r="I1864" s="8">
        <f t="shared" si="394"/>
        <v>341736.0349999999</v>
      </c>
      <c r="J1864" s="8">
        <f t="shared" si="394"/>
        <v>395910.81500000006</v>
      </c>
      <c r="K1864" s="8">
        <f t="shared" si="394"/>
        <v>350517.39</v>
      </c>
      <c r="L1864" s="9">
        <f t="shared" si="394"/>
        <v>457815.0800000001</v>
      </c>
      <c r="M1864" s="9">
        <f aca="true" t="shared" si="395" ref="M1864:R1864">M364</f>
        <v>503821.55999999994</v>
      </c>
      <c r="N1864" s="9">
        <f t="shared" si="395"/>
        <v>481315.44999999984</v>
      </c>
      <c r="O1864" s="9">
        <f t="shared" si="395"/>
        <v>517094</v>
      </c>
      <c r="P1864" s="9">
        <f t="shared" si="395"/>
        <v>516056</v>
      </c>
      <c r="Q1864" s="9">
        <f t="shared" si="395"/>
        <v>538474</v>
      </c>
      <c r="R1864" s="9">
        <f t="shared" si="395"/>
        <v>0</v>
      </c>
    </row>
    <row r="1865" spans="1:18" ht="12.75">
      <c r="A1865" s="85" t="s">
        <v>2089</v>
      </c>
      <c r="B1865" s="11" t="s">
        <v>2089</v>
      </c>
      <c r="C1865" s="36">
        <v>1470</v>
      </c>
      <c r="E1865" s="3" t="s">
        <v>2871</v>
      </c>
      <c r="F1865" s="37">
        <f aca="true" t="shared" si="396" ref="F1865:L1865">F387</f>
        <v>32649</v>
      </c>
      <c r="G1865" s="37">
        <f t="shared" si="396"/>
        <v>59689.64</v>
      </c>
      <c r="H1865" s="37">
        <f t="shared" si="396"/>
        <v>50478.100000000006</v>
      </c>
      <c r="I1865" s="8">
        <f t="shared" si="396"/>
        <v>53888.9</v>
      </c>
      <c r="J1865" s="8">
        <f t="shared" si="396"/>
        <v>54573.71000000001</v>
      </c>
      <c r="K1865" s="8">
        <f t="shared" si="396"/>
        <v>51555.91</v>
      </c>
      <c r="L1865" s="9">
        <f t="shared" si="396"/>
        <v>21555.11</v>
      </c>
      <c r="M1865" s="9">
        <f aca="true" t="shared" si="397" ref="M1865:R1865">M387</f>
        <v>30862.190000000002</v>
      </c>
      <c r="N1865" s="9">
        <f t="shared" si="397"/>
        <v>39924.64</v>
      </c>
      <c r="O1865" s="9">
        <f t="shared" si="397"/>
        <v>42013</v>
      </c>
      <c r="P1865" s="9">
        <f t="shared" si="397"/>
        <v>42013</v>
      </c>
      <c r="Q1865" s="9">
        <f t="shared" si="397"/>
        <v>43014</v>
      </c>
      <c r="R1865" s="9">
        <f t="shared" si="397"/>
        <v>0</v>
      </c>
    </row>
    <row r="1866" spans="1:18" ht="12.75">
      <c r="A1866" s="87" t="s">
        <v>2091</v>
      </c>
      <c r="B1866" s="50" t="s">
        <v>2091</v>
      </c>
      <c r="C1866" s="49">
        <v>9110</v>
      </c>
      <c r="D1866" s="49"/>
      <c r="E1866" s="3" t="s">
        <v>782</v>
      </c>
      <c r="F1866" s="88">
        <f aca="true" t="shared" si="398" ref="F1866:L1866">+F397</f>
        <v>2030893</v>
      </c>
      <c r="G1866" s="88">
        <f t="shared" si="398"/>
        <v>2111680.38</v>
      </c>
      <c r="H1866" s="88">
        <f t="shared" si="398"/>
        <v>2098567.21</v>
      </c>
      <c r="I1866" s="89">
        <f t="shared" si="398"/>
        <v>2206899.22</v>
      </c>
      <c r="J1866" s="89">
        <f t="shared" si="398"/>
        <v>2332136.52</v>
      </c>
      <c r="K1866" s="89">
        <f t="shared" si="398"/>
        <v>2507391.39</v>
      </c>
      <c r="L1866" s="90">
        <f t="shared" si="398"/>
        <v>2854328.1</v>
      </c>
      <c r="M1866" s="90">
        <f aca="true" t="shared" si="399" ref="M1866:R1866">+M397</f>
        <v>3021201.03</v>
      </c>
      <c r="N1866" s="90">
        <f t="shared" si="399"/>
        <v>3282202.24</v>
      </c>
      <c r="O1866" s="90">
        <f t="shared" si="399"/>
        <v>3517316</v>
      </c>
      <c r="P1866" s="90">
        <f t="shared" si="399"/>
        <v>3510316</v>
      </c>
      <c r="Q1866" s="90">
        <f t="shared" si="399"/>
        <v>3928785</v>
      </c>
      <c r="R1866" s="90">
        <f t="shared" si="399"/>
        <v>3928785</v>
      </c>
    </row>
    <row r="1867" spans="1:19" ht="12.75">
      <c r="A1867" s="85" t="s">
        <v>2092</v>
      </c>
      <c r="B1867" s="11" t="s">
        <v>2092</v>
      </c>
      <c r="E1867" s="3" t="s">
        <v>2909</v>
      </c>
      <c r="F1867" s="37">
        <f aca="true" t="shared" si="400" ref="F1867:L1867">F420</f>
        <v>613497</v>
      </c>
      <c r="G1867" s="37">
        <f t="shared" si="400"/>
        <v>686483.6</v>
      </c>
      <c r="H1867" s="37">
        <f t="shared" si="400"/>
        <v>779126.22</v>
      </c>
      <c r="I1867" s="8">
        <f t="shared" si="400"/>
        <v>1440433.64</v>
      </c>
      <c r="J1867" s="8">
        <f t="shared" si="400"/>
        <v>1942931.5200000005</v>
      </c>
      <c r="K1867" s="8">
        <f t="shared" si="400"/>
        <v>1798048.1800000002</v>
      </c>
      <c r="L1867" s="9">
        <f t="shared" si="400"/>
        <v>1407307.8800000001</v>
      </c>
      <c r="M1867" s="9">
        <f aca="true" t="shared" si="401" ref="M1867:R1867">M420</f>
        <v>1636896.8699999999</v>
      </c>
      <c r="N1867" s="9">
        <f t="shared" si="401"/>
        <v>1777771.19</v>
      </c>
      <c r="O1867" s="9">
        <f t="shared" si="401"/>
        <v>2112000</v>
      </c>
      <c r="P1867" s="9">
        <f t="shared" si="401"/>
        <v>2073000</v>
      </c>
      <c r="Q1867" s="9">
        <f t="shared" si="401"/>
        <v>2661500</v>
      </c>
      <c r="R1867" s="9">
        <f t="shared" si="401"/>
        <v>0</v>
      </c>
      <c r="S1867" s="8" t="s">
        <v>1943</v>
      </c>
    </row>
    <row r="1868" spans="1:18" ht="12.75">
      <c r="A1868" s="85"/>
      <c r="E1868" s="55" t="s">
        <v>2933</v>
      </c>
      <c r="F1868" s="21" t="e">
        <f aca="true" t="shared" si="402" ref="F1868:L1868">SUM(F1851:F1867)</f>
        <v>#REF!</v>
      </c>
      <c r="G1868" s="21" t="e">
        <f t="shared" si="402"/>
        <v>#REF!</v>
      </c>
      <c r="H1868" s="21" t="e">
        <f t="shared" si="402"/>
        <v>#REF!</v>
      </c>
      <c r="I1868" s="22" t="e">
        <f t="shared" si="402"/>
        <v>#REF!</v>
      </c>
      <c r="J1868" s="22" t="e">
        <f t="shared" si="402"/>
        <v>#REF!</v>
      </c>
      <c r="K1868" s="22" t="e">
        <f t="shared" si="402"/>
        <v>#REF!</v>
      </c>
      <c r="L1868" s="7">
        <f t="shared" si="402"/>
        <v>6841238.51</v>
      </c>
      <c r="M1868" s="7">
        <f aca="true" t="shared" si="403" ref="M1868:R1868">SUM(M1851:M1867)</f>
        <v>7017856.79</v>
      </c>
      <c r="N1868" s="7">
        <f t="shared" si="403"/>
        <v>7578058.289999999</v>
      </c>
      <c r="O1868" s="7">
        <f t="shared" si="403"/>
        <v>8858914</v>
      </c>
      <c r="P1868" s="7">
        <f t="shared" si="403"/>
        <v>8376824</v>
      </c>
      <c r="Q1868" s="7">
        <f t="shared" si="403"/>
        <v>10011799</v>
      </c>
      <c r="R1868" s="7">
        <f t="shared" si="403"/>
        <v>4385385</v>
      </c>
    </row>
    <row r="1869" spans="1:10" ht="12.75">
      <c r="A1869" s="85"/>
      <c r="F1869" s="37"/>
      <c r="G1869" s="37"/>
      <c r="H1869" s="37"/>
      <c r="J1869" s="8"/>
    </row>
    <row r="1870" spans="1:18" ht="12.75">
      <c r="A1870" s="85" t="s">
        <v>2093</v>
      </c>
      <c r="B1870" s="11" t="s">
        <v>2093</v>
      </c>
      <c r="C1870" s="36">
        <v>2110</v>
      </c>
      <c r="E1870" s="3" t="s">
        <v>2935</v>
      </c>
      <c r="F1870" s="37">
        <f aca="true" t="shared" si="404" ref="F1870:L1870">F472</f>
        <v>260771.5</v>
      </c>
      <c r="G1870" s="37">
        <f t="shared" si="404"/>
        <v>282194.75499999995</v>
      </c>
      <c r="H1870" s="37">
        <f t="shared" si="404"/>
        <v>290232.2500000001</v>
      </c>
      <c r="I1870" s="8">
        <f t="shared" si="404"/>
        <v>302220.0349999999</v>
      </c>
      <c r="J1870" s="8">
        <f t="shared" si="404"/>
        <v>308239.23500000004</v>
      </c>
      <c r="K1870" s="8">
        <f t="shared" si="404"/>
        <v>372742.215</v>
      </c>
      <c r="L1870" s="9">
        <f t="shared" si="404"/>
        <v>238846.3</v>
      </c>
      <c r="M1870" s="9">
        <f aca="true" t="shared" si="405" ref="M1870:R1870">M472</f>
        <v>307324.01999999996</v>
      </c>
      <c r="N1870" s="9">
        <f t="shared" si="405"/>
        <v>361847.3900000001</v>
      </c>
      <c r="O1870" s="9">
        <f t="shared" si="405"/>
        <v>348890</v>
      </c>
      <c r="P1870" s="9">
        <f t="shared" si="405"/>
        <v>348890</v>
      </c>
      <c r="Q1870" s="9">
        <f t="shared" si="405"/>
        <v>334415</v>
      </c>
      <c r="R1870" s="9">
        <f t="shared" si="405"/>
        <v>0</v>
      </c>
    </row>
    <row r="1871" spans="1:18" ht="12.75">
      <c r="A1871" s="85" t="s">
        <v>2102</v>
      </c>
      <c r="B1871" s="11" t="s">
        <v>2102</v>
      </c>
      <c r="C1871" s="36">
        <v>2960</v>
      </c>
      <c r="E1871" s="3" t="s">
        <v>2104</v>
      </c>
      <c r="F1871" s="8">
        <f aca="true" t="shared" si="406" ref="F1871:M1871">F511</f>
        <v>472142.5</v>
      </c>
      <c r="G1871" s="8">
        <f t="shared" si="406"/>
        <v>467655.11</v>
      </c>
      <c r="H1871" s="8">
        <f t="shared" si="406"/>
        <v>537033.7250000001</v>
      </c>
      <c r="I1871" s="8">
        <f t="shared" si="406"/>
        <v>547398.795</v>
      </c>
      <c r="J1871" s="8">
        <f t="shared" si="406"/>
        <v>660541.635</v>
      </c>
      <c r="K1871" s="8">
        <f t="shared" si="406"/>
        <v>672683.8499999999</v>
      </c>
      <c r="L1871" s="8">
        <f t="shared" si="406"/>
        <v>694113.3299999998</v>
      </c>
      <c r="M1871" s="8">
        <f t="shared" si="406"/>
        <v>659621.14</v>
      </c>
      <c r="N1871" s="8">
        <f>N511</f>
        <v>691502.6499999999</v>
      </c>
      <c r="O1871" s="8">
        <f>O511</f>
        <v>753693</v>
      </c>
      <c r="P1871" s="8">
        <f>P511</f>
        <v>753693</v>
      </c>
      <c r="Q1871" s="8">
        <f>Q511</f>
        <v>742717</v>
      </c>
      <c r="R1871" s="8">
        <f>R511</f>
        <v>0</v>
      </c>
    </row>
    <row r="1872" spans="1:18" ht="12.75">
      <c r="A1872" s="85" t="s">
        <v>2094</v>
      </c>
      <c r="B1872" s="11" t="s">
        <v>2094</v>
      </c>
      <c r="C1872" s="36">
        <v>2120</v>
      </c>
      <c r="E1872" s="3" t="s">
        <v>3011</v>
      </c>
      <c r="F1872" s="37">
        <f aca="true" t="shared" si="407" ref="F1872:L1872">F528</f>
        <v>70692.5</v>
      </c>
      <c r="G1872" s="37">
        <f t="shared" si="407"/>
        <v>73283.72</v>
      </c>
      <c r="H1872" s="37">
        <f t="shared" si="407"/>
        <v>73864.80500000001</v>
      </c>
      <c r="I1872" s="8">
        <f t="shared" si="407"/>
        <v>70782.53</v>
      </c>
      <c r="J1872" s="8">
        <f t="shared" si="407"/>
        <v>70138.785</v>
      </c>
      <c r="K1872" s="8">
        <f t="shared" si="407"/>
        <v>68817.4</v>
      </c>
      <c r="L1872" s="9">
        <f t="shared" si="407"/>
        <v>63616.409999999996</v>
      </c>
      <c r="M1872" s="9">
        <f aca="true" t="shared" si="408" ref="M1872:R1872">M528</f>
        <v>57855.79</v>
      </c>
      <c r="N1872" s="9">
        <f t="shared" si="408"/>
        <v>68299.77</v>
      </c>
      <c r="O1872" s="9">
        <f t="shared" si="408"/>
        <v>70444</v>
      </c>
      <c r="P1872" s="9">
        <f t="shared" si="408"/>
        <v>70444</v>
      </c>
      <c r="Q1872" s="9">
        <f t="shared" si="408"/>
        <v>71996</v>
      </c>
      <c r="R1872" s="9">
        <f t="shared" si="408"/>
        <v>0</v>
      </c>
    </row>
    <row r="1873" spans="1:18" ht="12.75">
      <c r="A1873" s="85" t="s">
        <v>2095</v>
      </c>
      <c r="B1873" s="11" t="s">
        <v>2095</v>
      </c>
      <c r="C1873" s="36">
        <v>2130</v>
      </c>
      <c r="E1873" s="3" t="s">
        <v>3034</v>
      </c>
      <c r="F1873" s="37">
        <f aca="true" t="shared" si="409" ref="F1873:L1873">F576</f>
        <v>2152002.5</v>
      </c>
      <c r="G1873" s="37">
        <f t="shared" si="409"/>
        <v>2408640.5149999997</v>
      </c>
      <c r="H1873" s="37">
        <f t="shared" si="409"/>
        <v>2970221.675</v>
      </c>
      <c r="I1873" s="8">
        <f t="shared" si="409"/>
        <v>2619898.53</v>
      </c>
      <c r="J1873" s="8">
        <f t="shared" si="409"/>
        <v>2893028.9850000017</v>
      </c>
      <c r="K1873" s="8">
        <f t="shared" si="409"/>
        <v>2981547.1349999993</v>
      </c>
      <c r="L1873" s="9">
        <f t="shared" si="409"/>
        <v>2912665.1266666674</v>
      </c>
      <c r="M1873" s="9">
        <f aca="true" t="shared" si="410" ref="M1873:R1873">M576</f>
        <v>2896584.2200000016</v>
      </c>
      <c r="N1873" s="9">
        <f t="shared" si="410"/>
        <v>2927286.21</v>
      </c>
      <c r="O1873" s="9">
        <f t="shared" si="410"/>
        <v>3251562</v>
      </c>
      <c r="P1873" s="9">
        <f t="shared" si="410"/>
        <v>3266682</v>
      </c>
      <c r="Q1873" s="9">
        <f t="shared" si="410"/>
        <v>3384989</v>
      </c>
      <c r="R1873" s="9">
        <f t="shared" si="410"/>
        <v>0</v>
      </c>
    </row>
    <row r="1874" spans="1:18" ht="12.75">
      <c r="A1874" s="85" t="s">
        <v>2096</v>
      </c>
      <c r="B1874" s="11" t="s">
        <v>2096</v>
      </c>
      <c r="C1874" s="36">
        <v>2140</v>
      </c>
      <c r="E1874" s="3" t="s">
        <v>2097</v>
      </c>
      <c r="F1874" s="37">
        <f aca="true" t="shared" si="411" ref="F1874:L1874">F610</f>
        <v>332080.5</v>
      </c>
      <c r="G1874" s="37">
        <f t="shared" si="411"/>
        <v>341446.745</v>
      </c>
      <c r="H1874" s="37">
        <f t="shared" si="411"/>
        <v>362660.55499999993</v>
      </c>
      <c r="I1874" s="8">
        <f t="shared" si="411"/>
        <v>348044.71</v>
      </c>
      <c r="J1874" s="8">
        <f t="shared" si="411"/>
        <v>350551.335</v>
      </c>
      <c r="K1874" s="8">
        <f t="shared" si="411"/>
        <v>353120.3549999999</v>
      </c>
      <c r="L1874" s="9">
        <f t="shared" si="411"/>
        <v>355216.99</v>
      </c>
      <c r="M1874" s="9">
        <f aca="true" t="shared" si="412" ref="M1874:R1874">M610</f>
        <v>378141.55999999994</v>
      </c>
      <c r="N1874" s="9">
        <f t="shared" si="412"/>
        <v>396654.39</v>
      </c>
      <c r="O1874" s="9">
        <f t="shared" si="412"/>
        <v>443161</v>
      </c>
      <c r="P1874" s="9">
        <f t="shared" si="412"/>
        <v>443161</v>
      </c>
      <c r="Q1874" s="9">
        <f t="shared" si="412"/>
        <v>531128</v>
      </c>
      <c r="R1874" s="9">
        <f t="shared" si="412"/>
        <v>0</v>
      </c>
    </row>
    <row r="1875" spans="1:18" ht="12.75">
      <c r="A1875" s="85" t="s">
        <v>2098</v>
      </c>
      <c r="B1875" s="11" t="s">
        <v>2098</v>
      </c>
      <c r="C1875" s="36">
        <v>2150</v>
      </c>
      <c r="E1875" s="3" t="s">
        <v>2099</v>
      </c>
      <c r="F1875" s="37">
        <f aca="true" t="shared" si="413" ref="F1875:L1875">F640</f>
        <v>209158</v>
      </c>
      <c r="G1875" s="37">
        <f t="shared" si="413"/>
        <v>214463.625</v>
      </c>
      <c r="H1875" s="37">
        <f t="shared" si="413"/>
        <v>227513.15999999997</v>
      </c>
      <c r="I1875" s="8">
        <f t="shared" si="413"/>
        <v>290722.32999999996</v>
      </c>
      <c r="J1875" s="8">
        <f t="shared" si="413"/>
        <v>303827.51</v>
      </c>
      <c r="K1875" s="8">
        <f t="shared" si="413"/>
        <v>313302.51999999996</v>
      </c>
      <c r="L1875" s="9">
        <f t="shared" si="413"/>
        <v>320251.8499999999</v>
      </c>
      <c r="M1875" s="9">
        <f aca="true" t="shared" si="414" ref="M1875:R1875">M640</f>
        <v>237832.81999999998</v>
      </c>
      <c r="N1875" s="9">
        <f t="shared" si="414"/>
        <v>259230.05</v>
      </c>
      <c r="O1875" s="9">
        <f t="shared" si="414"/>
        <v>319371</v>
      </c>
      <c r="P1875" s="9">
        <f t="shared" si="414"/>
        <v>319371</v>
      </c>
      <c r="Q1875" s="9">
        <f t="shared" si="414"/>
        <v>280397</v>
      </c>
      <c r="R1875" s="9">
        <f t="shared" si="414"/>
        <v>0</v>
      </c>
    </row>
    <row r="1876" spans="1:18" ht="12.75">
      <c r="A1876" s="85" t="s">
        <v>2100</v>
      </c>
      <c r="B1876" s="11" t="s">
        <v>2100</v>
      </c>
      <c r="C1876" s="36">
        <v>2160</v>
      </c>
      <c r="E1876" s="3" t="s">
        <v>2101</v>
      </c>
      <c r="F1876" s="37">
        <f aca="true" t="shared" si="415" ref="F1876:L1876">F671</f>
        <v>209243.5</v>
      </c>
      <c r="G1876" s="37">
        <f t="shared" si="415"/>
        <v>220569.095</v>
      </c>
      <c r="H1876" s="37">
        <f t="shared" si="415"/>
        <v>255345.44999999995</v>
      </c>
      <c r="I1876" s="8">
        <f t="shared" si="415"/>
        <v>238443.02499999994</v>
      </c>
      <c r="J1876" s="8">
        <f t="shared" si="415"/>
        <v>234038.2</v>
      </c>
      <c r="K1876" s="8">
        <f t="shared" si="415"/>
        <v>263083.82499999995</v>
      </c>
      <c r="L1876" s="9">
        <f t="shared" si="415"/>
        <v>268493.31</v>
      </c>
      <c r="M1876" s="9">
        <f aca="true" t="shared" si="416" ref="M1876:R1876">M671</f>
        <v>269275.26</v>
      </c>
      <c r="N1876" s="9">
        <f t="shared" si="416"/>
        <v>292430.6499999999</v>
      </c>
      <c r="O1876" s="9">
        <f t="shared" si="416"/>
        <v>240075</v>
      </c>
      <c r="P1876" s="9">
        <f t="shared" si="416"/>
        <v>240075</v>
      </c>
      <c r="Q1876" s="9">
        <f t="shared" si="416"/>
        <v>270266</v>
      </c>
      <c r="R1876" s="9">
        <f t="shared" si="416"/>
        <v>0</v>
      </c>
    </row>
    <row r="1877" spans="1:18" ht="12.75">
      <c r="A1877" s="85" t="s">
        <v>2105</v>
      </c>
      <c r="B1877" s="11" t="s">
        <v>2105</v>
      </c>
      <c r="C1877" s="36">
        <v>2210</v>
      </c>
      <c r="E1877" s="3" t="s">
        <v>260</v>
      </c>
      <c r="F1877" s="37">
        <f aca="true" t="shared" si="417" ref="F1877:L1877">F709</f>
        <v>187366.5</v>
      </c>
      <c r="G1877" s="37">
        <f t="shared" si="417"/>
        <v>212434.87999999998</v>
      </c>
      <c r="H1877" s="37">
        <f t="shared" si="417"/>
        <v>228578.34000000003</v>
      </c>
      <c r="I1877" s="8">
        <f t="shared" si="417"/>
        <v>229349.46</v>
      </c>
      <c r="J1877" s="8">
        <f t="shared" si="417"/>
        <v>245224.78999999998</v>
      </c>
      <c r="K1877" s="8">
        <f t="shared" si="417"/>
        <v>261040.165</v>
      </c>
      <c r="L1877" s="9">
        <f t="shared" si="417"/>
        <v>279205.59</v>
      </c>
      <c r="M1877" s="9">
        <f aca="true" t="shared" si="418" ref="M1877:R1877">M709</f>
        <v>273037.49</v>
      </c>
      <c r="N1877" s="9">
        <f t="shared" si="418"/>
        <v>266700.14</v>
      </c>
      <c r="O1877" s="9">
        <f t="shared" si="418"/>
        <v>301780</v>
      </c>
      <c r="P1877" s="9">
        <f t="shared" si="418"/>
        <v>309993</v>
      </c>
      <c r="Q1877" s="9">
        <f t="shared" si="418"/>
        <v>347090</v>
      </c>
      <c r="R1877" s="9">
        <f t="shared" si="418"/>
        <v>0</v>
      </c>
    </row>
    <row r="1878" spans="1:18" ht="12.75">
      <c r="A1878" s="85" t="s">
        <v>2106</v>
      </c>
      <c r="B1878" s="11" t="s">
        <v>2106</v>
      </c>
      <c r="C1878" s="36">
        <v>2220</v>
      </c>
      <c r="E1878" s="3" t="s">
        <v>2108</v>
      </c>
      <c r="F1878" s="37">
        <f aca="true" t="shared" si="419" ref="F1878:L1878">F751</f>
        <v>2460691</v>
      </c>
      <c r="G1878" s="37">
        <f t="shared" si="419"/>
        <v>2496413.27</v>
      </c>
      <c r="H1878" s="37">
        <f t="shared" si="419"/>
        <v>2767376.9200000004</v>
      </c>
      <c r="I1878" s="8">
        <f t="shared" si="419"/>
        <v>2752893.38</v>
      </c>
      <c r="J1878" s="8">
        <f t="shared" si="419"/>
        <v>2905049.3649999993</v>
      </c>
      <c r="K1878" s="8">
        <f t="shared" si="419"/>
        <v>3113628.1250000005</v>
      </c>
      <c r="L1878" s="9">
        <f t="shared" si="419"/>
        <v>3174272.6200000006</v>
      </c>
      <c r="M1878" s="9">
        <f aca="true" t="shared" si="420" ref="M1878:R1878">M751</f>
        <v>3669549.7800000003</v>
      </c>
      <c r="N1878" s="9">
        <f t="shared" si="420"/>
        <v>3863801.07</v>
      </c>
      <c r="O1878" s="9">
        <f t="shared" si="420"/>
        <v>4008766</v>
      </c>
      <c r="P1878" s="9">
        <f t="shared" si="420"/>
        <v>3980513</v>
      </c>
      <c r="Q1878" s="9">
        <f t="shared" si="420"/>
        <v>4112739</v>
      </c>
      <c r="R1878" s="9">
        <f t="shared" si="420"/>
        <v>0</v>
      </c>
    </row>
    <row r="1879" spans="1:18" ht="12.75">
      <c r="A1879" s="85" t="s">
        <v>2109</v>
      </c>
      <c r="B1879" s="11" t="s">
        <v>2109</v>
      </c>
      <c r="C1879" s="36">
        <v>2300</v>
      </c>
      <c r="E1879" s="3" t="s">
        <v>2111</v>
      </c>
      <c r="F1879" s="37">
        <f aca="true" t="shared" si="421" ref="F1879:L1879">F781</f>
        <v>401267</v>
      </c>
      <c r="G1879" s="37">
        <f t="shared" si="421"/>
        <v>437282.24000000005</v>
      </c>
      <c r="H1879" s="37">
        <f t="shared" si="421"/>
        <v>462435.04500000004</v>
      </c>
      <c r="I1879" s="8">
        <f t="shared" si="421"/>
        <v>479440.82500000007</v>
      </c>
      <c r="J1879" s="8">
        <f t="shared" si="421"/>
        <v>487106.0299999999</v>
      </c>
      <c r="K1879" s="8">
        <f t="shared" si="421"/>
        <v>540615.6350000001</v>
      </c>
      <c r="L1879" s="9">
        <f t="shared" si="421"/>
        <v>533071.9700000001</v>
      </c>
      <c r="M1879" s="9">
        <f aca="true" t="shared" si="422" ref="M1879:R1879">M781</f>
        <v>129769.73999999999</v>
      </c>
      <c r="N1879" s="9">
        <f t="shared" si="422"/>
        <v>143736.24</v>
      </c>
      <c r="O1879" s="9">
        <f t="shared" si="422"/>
        <v>141375</v>
      </c>
      <c r="P1879" s="9">
        <f t="shared" si="422"/>
        <v>141375</v>
      </c>
      <c r="Q1879" s="9">
        <f t="shared" si="422"/>
        <v>153105</v>
      </c>
      <c r="R1879" s="9">
        <f t="shared" si="422"/>
        <v>0</v>
      </c>
    </row>
    <row r="1880" spans="1:18" ht="12.75">
      <c r="A1880" s="85" t="s">
        <v>2112</v>
      </c>
      <c r="B1880" s="11" t="s">
        <v>2112</v>
      </c>
      <c r="C1880" s="36">
        <v>2910</v>
      </c>
      <c r="E1880" s="3" t="s">
        <v>1417</v>
      </c>
      <c r="F1880" s="37">
        <f aca="true" t="shared" si="423" ref="F1880:L1880">F805</f>
        <v>2410.5</v>
      </c>
      <c r="G1880" s="37">
        <f t="shared" si="423"/>
        <v>3932.32</v>
      </c>
      <c r="H1880" s="37">
        <f t="shared" si="423"/>
        <v>15858.06</v>
      </c>
      <c r="I1880" s="8">
        <f t="shared" si="423"/>
        <v>8503.435</v>
      </c>
      <c r="J1880" s="8">
        <f t="shared" si="423"/>
        <v>12956.570000000002</v>
      </c>
      <c r="K1880" s="8">
        <f t="shared" si="423"/>
        <v>11268.795</v>
      </c>
      <c r="L1880" s="9">
        <f t="shared" si="423"/>
        <v>12304.160000000002</v>
      </c>
      <c r="M1880" s="9">
        <f aca="true" t="shared" si="424" ref="M1880:R1880">M805</f>
        <v>12982.79</v>
      </c>
      <c r="N1880" s="9">
        <f t="shared" si="424"/>
        <v>17764.719999999994</v>
      </c>
      <c r="O1880" s="9">
        <f t="shared" si="424"/>
        <v>20600</v>
      </c>
      <c r="P1880" s="9">
        <f t="shared" si="424"/>
        <v>20600</v>
      </c>
      <c r="Q1880" s="9">
        <f t="shared" si="424"/>
        <v>23100</v>
      </c>
      <c r="R1880" s="9">
        <f t="shared" si="424"/>
        <v>0</v>
      </c>
    </row>
    <row r="1881" spans="1:18" ht="12.75">
      <c r="A1881" s="85"/>
      <c r="E1881" s="55" t="s">
        <v>429</v>
      </c>
      <c r="F1881" s="22">
        <f aca="true" t="shared" si="425" ref="F1881:L1881">SUM(F1870:F1880)</f>
        <v>6757826</v>
      </c>
      <c r="G1881" s="22">
        <f t="shared" si="425"/>
        <v>7158316.275</v>
      </c>
      <c r="H1881" s="22">
        <f t="shared" si="425"/>
        <v>8191119.985</v>
      </c>
      <c r="I1881" s="22">
        <f t="shared" si="425"/>
        <v>7887697.055</v>
      </c>
      <c r="J1881" s="22">
        <f t="shared" si="425"/>
        <v>8470702.440000001</v>
      </c>
      <c r="K1881" s="22">
        <f t="shared" si="425"/>
        <v>8951850.02</v>
      </c>
      <c r="L1881" s="7">
        <f t="shared" si="425"/>
        <v>8852057.656666668</v>
      </c>
      <c r="M1881" s="7">
        <f aca="true" t="shared" si="426" ref="M1881:R1881">SUM(M1870:M1880)</f>
        <v>8891974.610000001</v>
      </c>
      <c r="N1881" s="7">
        <f t="shared" si="426"/>
        <v>9289253.28</v>
      </c>
      <c r="O1881" s="7">
        <f t="shared" si="426"/>
        <v>9899717</v>
      </c>
      <c r="P1881" s="7">
        <f>SUM(P1870:P1880)</f>
        <v>9894797</v>
      </c>
      <c r="Q1881" s="7">
        <f t="shared" si="426"/>
        <v>10251942</v>
      </c>
      <c r="R1881" s="7">
        <f t="shared" si="426"/>
        <v>0</v>
      </c>
    </row>
    <row r="1882" spans="1:10" ht="12.75">
      <c r="A1882" s="85"/>
      <c r="F1882" s="37"/>
      <c r="G1882" s="37"/>
      <c r="H1882" s="37"/>
      <c r="J1882" s="8"/>
    </row>
    <row r="1883" spans="1:18" ht="12.75">
      <c r="A1883" s="85" t="s">
        <v>2114</v>
      </c>
      <c r="B1883" s="11" t="s">
        <v>2114</v>
      </c>
      <c r="C1883" s="36">
        <v>3000</v>
      </c>
      <c r="E1883" s="3" t="s">
        <v>2115</v>
      </c>
      <c r="F1883" s="37">
        <f aca="true" t="shared" si="427" ref="F1883:L1883">F825</f>
        <v>22121703</v>
      </c>
      <c r="G1883" s="37">
        <f t="shared" si="427"/>
        <v>22900692.68</v>
      </c>
      <c r="H1883" s="37">
        <f t="shared" si="427"/>
        <v>24695217.5</v>
      </c>
      <c r="I1883" s="8">
        <f t="shared" si="427"/>
        <v>25655042.99</v>
      </c>
      <c r="J1883" s="8">
        <f t="shared" si="427"/>
        <v>27373613.25</v>
      </c>
      <c r="K1883" s="8">
        <f t="shared" si="427"/>
        <v>28260747.57</v>
      </c>
      <c r="L1883" s="9">
        <f t="shared" si="427"/>
        <v>29430597.15</v>
      </c>
      <c r="M1883" s="9">
        <f aca="true" t="shared" si="428" ref="M1883:R1883">M825</f>
        <v>31005361.31</v>
      </c>
      <c r="N1883" s="9">
        <f t="shared" si="428"/>
        <v>32921439.549999997</v>
      </c>
      <c r="O1883" s="9">
        <f t="shared" si="428"/>
        <v>34646794</v>
      </c>
      <c r="P1883" s="9">
        <f t="shared" si="428"/>
        <v>34646794</v>
      </c>
      <c r="Q1883" s="9">
        <f t="shared" si="428"/>
        <v>37896162</v>
      </c>
      <c r="R1883" s="9">
        <f t="shared" si="428"/>
        <v>0</v>
      </c>
    </row>
    <row r="1884" spans="1:18" ht="12.75" hidden="1">
      <c r="A1884" s="85" t="s">
        <v>2116</v>
      </c>
      <c r="B1884" s="11" t="s">
        <v>2116</v>
      </c>
      <c r="E1884" s="3" t="s">
        <v>2117</v>
      </c>
      <c r="F1884" s="37">
        <f aca="true" t="shared" si="429" ref="F1884:L1884">F828</f>
        <v>0</v>
      </c>
      <c r="G1884" s="37">
        <f t="shared" si="429"/>
        <v>0</v>
      </c>
      <c r="H1884" s="37">
        <f t="shared" si="429"/>
        <v>0</v>
      </c>
      <c r="I1884" s="8">
        <f t="shared" si="429"/>
        <v>0</v>
      </c>
      <c r="J1884" s="8">
        <f t="shared" si="429"/>
        <v>0</v>
      </c>
      <c r="K1884" s="8">
        <f t="shared" si="429"/>
        <v>0</v>
      </c>
      <c r="L1884" s="9">
        <f t="shared" si="429"/>
        <v>0</v>
      </c>
      <c r="M1884" s="9">
        <f aca="true" t="shared" si="430" ref="M1884:R1884">M828</f>
        <v>0</v>
      </c>
      <c r="N1884" s="9">
        <f t="shared" si="430"/>
        <v>0</v>
      </c>
      <c r="O1884" s="9">
        <f t="shared" si="430"/>
        <v>0</v>
      </c>
      <c r="P1884" s="9">
        <f t="shared" si="430"/>
        <v>0</v>
      </c>
      <c r="Q1884" s="9">
        <f t="shared" si="430"/>
        <v>0</v>
      </c>
      <c r="R1884" s="9">
        <f t="shared" si="430"/>
        <v>0</v>
      </c>
    </row>
    <row r="1885" spans="1:18" ht="12.75">
      <c r="A1885" s="85" t="s">
        <v>2118</v>
      </c>
      <c r="B1885" s="11" t="s">
        <v>2118</v>
      </c>
      <c r="C1885" s="36">
        <v>3900</v>
      </c>
      <c r="E1885" s="3" t="s">
        <v>2119</v>
      </c>
      <c r="F1885" s="37">
        <f>F830</f>
        <v>691534</v>
      </c>
      <c r="G1885" s="37">
        <f aca="true" t="shared" si="431" ref="G1885:L1886">G830</f>
        <v>679046</v>
      </c>
      <c r="H1885" s="37">
        <f t="shared" si="431"/>
        <v>767516</v>
      </c>
      <c r="I1885" s="8">
        <f t="shared" si="431"/>
        <v>744857</v>
      </c>
      <c r="J1885" s="8">
        <f t="shared" si="431"/>
        <v>644823</v>
      </c>
      <c r="K1885" s="8">
        <f t="shared" si="431"/>
        <v>504519</v>
      </c>
      <c r="L1885" s="9">
        <f t="shared" si="431"/>
        <v>574614</v>
      </c>
      <c r="M1885" s="9">
        <f aca="true" t="shared" si="432" ref="M1885:O1886">M830</f>
        <v>556945</v>
      </c>
      <c r="N1885" s="9">
        <f t="shared" si="432"/>
        <v>586962</v>
      </c>
      <c r="O1885" s="9">
        <f t="shared" si="432"/>
        <v>605113</v>
      </c>
      <c r="P1885" s="9">
        <f aca="true" t="shared" si="433" ref="P1885:R1886">P830</f>
        <v>605113</v>
      </c>
      <c r="Q1885" s="9">
        <f t="shared" si="433"/>
        <v>517075</v>
      </c>
      <c r="R1885" s="9">
        <f t="shared" si="433"/>
        <v>0</v>
      </c>
    </row>
    <row r="1886" spans="2:18" ht="12.75" hidden="1">
      <c r="B1886" s="11" t="s">
        <v>2120</v>
      </c>
      <c r="E1886" s="3" t="s">
        <v>2121</v>
      </c>
      <c r="F1886" s="37">
        <f>F831</f>
        <v>0</v>
      </c>
      <c r="G1886" s="37">
        <f t="shared" si="431"/>
        <v>0</v>
      </c>
      <c r="H1886" s="37">
        <f t="shared" si="431"/>
        <v>0</v>
      </c>
      <c r="I1886" s="8">
        <f t="shared" si="431"/>
        <v>0</v>
      </c>
      <c r="J1886" s="8">
        <f t="shared" si="431"/>
        <v>0</v>
      </c>
      <c r="K1886" s="8">
        <f t="shared" si="431"/>
        <v>0</v>
      </c>
      <c r="L1886" s="9">
        <f t="shared" si="431"/>
        <v>0</v>
      </c>
      <c r="M1886" s="9">
        <f t="shared" si="432"/>
        <v>0</v>
      </c>
      <c r="N1886" s="9">
        <f t="shared" si="432"/>
        <v>0</v>
      </c>
      <c r="O1886" s="9">
        <f t="shared" si="432"/>
        <v>0</v>
      </c>
      <c r="P1886" s="9">
        <f t="shared" si="433"/>
        <v>0</v>
      </c>
      <c r="Q1886" s="9">
        <f t="shared" si="433"/>
        <v>0</v>
      </c>
      <c r="R1886" s="9">
        <f t="shared" si="433"/>
        <v>0</v>
      </c>
    </row>
    <row r="1887" spans="5:18" ht="12.75">
      <c r="E1887" s="55" t="s">
        <v>2122</v>
      </c>
      <c r="F1887" s="21">
        <f aca="true" t="shared" si="434" ref="F1887:L1887">SUM(F1883:F1886)</f>
        <v>22813237</v>
      </c>
      <c r="G1887" s="21">
        <f t="shared" si="434"/>
        <v>23579738.68</v>
      </c>
      <c r="H1887" s="21">
        <f t="shared" si="434"/>
        <v>25462733.5</v>
      </c>
      <c r="I1887" s="22">
        <f t="shared" si="434"/>
        <v>26399899.99</v>
      </c>
      <c r="J1887" s="22">
        <f t="shared" si="434"/>
        <v>28018436.25</v>
      </c>
      <c r="K1887" s="22">
        <f t="shared" si="434"/>
        <v>28765266.57</v>
      </c>
      <c r="L1887" s="7">
        <f t="shared" si="434"/>
        <v>30005211.15</v>
      </c>
      <c r="M1887" s="7">
        <f>SUM(M1883:M1886)</f>
        <v>31562306.31</v>
      </c>
      <c r="N1887" s="7">
        <f>SUM(N1883:N1886)</f>
        <v>33508401.549999997</v>
      </c>
      <c r="O1887" s="7">
        <f>SUM(O1883:O1885)</f>
        <v>35251907</v>
      </c>
      <c r="P1887" s="7">
        <f>SUM(P1883:P1885)</f>
        <v>35251907</v>
      </c>
      <c r="Q1887" s="7">
        <f>SUM(Q1883:Q1885)</f>
        <v>38413237</v>
      </c>
      <c r="R1887" s="7">
        <f>SUM(R1883:R1885)</f>
        <v>0</v>
      </c>
    </row>
    <row r="1888" spans="6:10" ht="12.75">
      <c r="F1888" s="37"/>
      <c r="G1888" s="37"/>
      <c r="H1888" s="37"/>
      <c r="J1888" s="8"/>
    </row>
    <row r="1889" spans="1:18" ht="12.75">
      <c r="A1889" s="85" t="s">
        <v>2123</v>
      </c>
      <c r="B1889" s="11" t="s">
        <v>2123</v>
      </c>
      <c r="C1889" s="36">
        <v>1800</v>
      </c>
      <c r="E1889" s="3" t="s">
        <v>2124</v>
      </c>
      <c r="F1889" s="37">
        <f aca="true" t="shared" si="435" ref="F1889:L1889">F873</f>
        <v>128208</v>
      </c>
      <c r="G1889" s="37">
        <f t="shared" si="435"/>
        <v>149376.005</v>
      </c>
      <c r="H1889" s="37">
        <f t="shared" si="435"/>
        <v>159180.47500000003</v>
      </c>
      <c r="I1889" s="8">
        <f t="shared" si="435"/>
        <v>145660.01499999998</v>
      </c>
      <c r="J1889" s="8">
        <f t="shared" si="435"/>
        <v>179579.40499999997</v>
      </c>
      <c r="K1889" s="8">
        <f t="shared" si="435"/>
        <v>179080.38499999998</v>
      </c>
      <c r="L1889" s="9">
        <f t="shared" si="435"/>
        <v>182085.36999999994</v>
      </c>
      <c r="M1889" s="9">
        <f aca="true" t="shared" si="436" ref="M1889:R1889">M873</f>
        <v>172368.84999999998</v>
      </c>
      <c r="N1889" s="9">
        <f t="shared" si="436"/>
        <v>184446.08000000002</v>
      </c>
      <c r="O1889" s="9">
        <f t="shared" si="436"/>
        <v>194731</v>
      </c>
      <c r="P1889" s="9">
        <f t="shared" si="436"/>
        <v>201550</v>
      </c>
      <c r="Q1889" s="9">
        <f t="shared" si="436"/>
        <v>228328</v>
      </c>
      <c r="R1889" s="9">
        <f t="shared" si="436"/>
        <v>0</v>
      </c>
    </row>
    <row r="1890" spans="1:18" ht="12.75">
      <c r="A1890" s="85" t="s">
        <v>2125</v>
      </c>
      <c r="B1890" s="11" t="s">
        <v>2125</v>
      </c>
      <c r="C1890" s="36">
        <v>1750</v>
      </c>
      <c r="E1890" s="3" t="s">
        <v>2126</v>
      </c>
      <c r="F1890" s="37">
        <f aca="true" t="shared" si="437" ref="F1890:L1890">F901</f>
        <v>50428.5</v>
      </c>
      <c r="G1890" s="37">
        <f t="shared" si="437"/>
        <v>57658.35999999999</v>
      </c>
      <c r="H1890" s="37">
        <f t="shared" si="437"/>
        <v>63444.66500000001</v>
      </c>
      <c r="I1890" s="8">
        <f t="shared" si="437"/>
        <v>169047.835</v>
      </c>
      <c r="J1890" s="8">
        <f t="shared" si="437"/>
        <v>204606.195</v>
      </c>
      <c r="K1890" s="8">
        <f t="shared" si="437"/>
        <v>209030.345</v>
      </c>
      <c r="L1890" s="9">
        <f t="shared" si="437"/>
        <v>211719.1</v>
      </c>
      <c r="M1890" s="9">
        <f aca="true" t="shared" si="438" ref="M1890:R1890">M901</f>
        <v>226031.74000000002</v>
      </c>
      <c r="N1890" s="9">
        <f t="shared" si="438"/>
        <v>196689.91999999998</v>
      </c>
      <c r="O1890" s="9">
        <f t="shared" si="438"/>
        <v>204284</v>
      </c>
      <c r="P1890" s="9">
        <f t="shared" si="438"/>
        <v>204284</v>
      </c>
      <c r="Q1890" s="9">
        <f t="shared" si="438"/>
        <v>255260</v>
      </c>
      <c r="R1890" s="9">
        <f t="shared" si="438"/>
        <v>0</v>
      </c>
    </row>
    <row r="1891" spans="1:18" ht="12.75">
      <c r="A1891" s="85" t="s">
        <v>2127</v>
      </c>
      <c r="B1891" s="11" t="s">
        <v>2127</v>
      </c>
      <c r="C1891" s="36">
        <v>4110</v>
      </c>
      <c r="E1891" s="3" t="s">
        <v>2128</v>
      </c>
      <c r="F1891" s="37">
        <f aca="true" t="shared" si="439" ref="F1891:L1891">F931</f>
        <v>107520.5</v>
      </c>
      <c r="G1891" s="37">
        <f t="shared" si="439"/>
        <v>111151.05500000004</v>
      </c>
      <c r="H1891" s="37">
        <f t="shared" si="439"/>
        <v>131545.92500000002</v>
      </c>
      <c r="I1891" s="8">
        <f t="shared" si="439"/>
        <v>166046.43500000003</v>
      </c>
      <c r="J1891" s="8">
        <f t="shared" si="439"/>
        <v>146469.82500000004</v>
      </c>
      <c r="K1891" s="8">
        <f t="shared" si="439"/>
        <v>100978.95</v>
      </c>
      <c r="L1891" s="9">
        <f t="shared" si="439"/>
        <v>88651.93000000001</v>
      </c>
      <c r="M1891" s="9">
        <f aca="true" t="shared" si="440" ref="M1891:R1891">M931</f>
        <v>41721.7</v>
      </c>
      <c r="N1891" s="9">
        <f t="shared" si="440"/>
        <v>16750.89</v>
      </c>
      <c r="O1891" s="9">
        <f t="shared" si="440"/>
        <v>146486</v>
      </c>
      <c r="P1891" s="9">
        <f t="shared" si="440"/>
        <v>101119</v>
      </c>
      <c r="Q1891" s="9">
        <f t="shared" si="440"/>
        <v>104538</v>
      </c>
      <c r="R1891" s="9">
        <f t="shared" si="440"/>
        <v>0</v>
      </c>
    </row>
    <row r="1892" spans="1:18" ht="12.75">
      <c r="A1892" s="85" t="s">
        <v>2129</v>
      </c>
      <c r="B1892" s="11" t="s">
        <v>2129</v>
      </c>
      <c r="C1892" s="36">
        <v>2410</v>
      </c>
      <c r="E1892" s="3" t="s">
        <v>2130</v>
      </c>
      <c r="F1892" s="37">
        <f aca="true" t="shared" si="441" ref="F1892:L1892">F962</f>
        <v>107104.5</v>
      </c>
      <c r="G1892" s="37">
        <f t="shared" si="441"/>
        <v>107221.08499999998</v>
      </c>
      <c r="H1892" s="37">
        <f t="shared" si="441"/>
        <v>152767.55499999996</v>
      </c>
      <c r="I1892" s="8">
        <f t="shared" si="441"/>
        <v>182074.40999999997</v>
      </c>
      <c r="J1892" s="8">
        <f t="shared" si="441"/>
        <v>190509.84000000003</v>
      </c>
      <c r="K1892" s="8">
        <f t="shared" si="441"/>
        <v>188081.06000000003</v>
      </c>
      <c r="L1892" s="9">
        <f t="shared" si="441"/>
        <v>200303.93</v>
      </c>
      <c r="M1892" s="9">
        <f aca="true" t="shared" si="442" ref="M1892:R1892">M962</f>
        <v>191928.25999999998</v>
      </c>
      <c r="N1892" s="9">
        <f t="shared" si="442"/>
        <v>249480.68999999997</v>
      </c>
      <c r="O1892" s="9">
        <f t="shared" si="442"/>
        <v>238167</v>
      </c>
      <c r="P1892" s="9">
        <f t="shared" si="442"/>
        <v>228837</v>
      </c>
      <c r="Q1892" s="9">
        <f t="shared" si="442"/>
        <v>236256</v>
      </c>
      <c r="R1892" s="9">
        <f t="shared" si="442"/>
        <v>0</v>
      </c>
    </row>
    <row r="1893" spans="1:18" ht="12.75">
      <c r="A1893" s="85" t="s">
        <v>2131</v>
      </c>
      <c r="B1893" s="11" t="s">
        <v>2131</v>
      </c>
      <c r="C1893" s="36">
        <v>4210</v>
      </c>
      <c r="E1893" s="3" t="s">
        <v>1418</v>
      </c>
      <c r="F1893" s="37">
        <f aca="true" t="shared" si="443" ref="F1893:L1893">F999</f>
        <v>237445.5</v>
      </c>
      <c r="G1893" s="37">
        <f t="shared" si="443"/>
        <v>245533.15500000003</v>
      </c>
      <c r="H1893" s="37">
        <f t="shared" si="443"/>
        <v>263623.6</v>
      </c>
      <c r="I1893" s="8">
        <f t="shared" si="443"/>
        <v>251647.895</v>
      </c>
      <c r="J1893" s="8">
        <f t="shared" si="443"/>
        <v>263174.4849999999</v>
      </c>
      <c r="K1893" s="8">
        <f t="shared" si="443"/>
        <v>260032.37000000002</v>
      </c>
      <c r="L1893" s="9">
        <f t="shared" si="443"/>
        <v>255545.94000000003</v>
      </c>
      <c r="M1893" s="9">
        <f aca="true" t="shared" si="444" ref="M1893:R1893">M999</f>
        <v>249068.07</v>
      </c>
      <c r="N1893" s="9">
        <f t="shared" si="444"/>
        <v>269529.48000000004</v>
      </c>
      <c r="O1893" s="9">
        <f t="shared" si="444"/>
        <v>303463</v>
      </c>
      <c r="P1893" s="9">
        <f t="shared" si="444"/>
        <v>304964</v>
      </c>
      <c r="Q1893" s="9">
        <f t="shared" si="444"/>
        <v>318464</v>
      </c>
      <c r="R1893" s="9">
        <f t="shared" si="444"/>
        <v>0</v>
      </c>
    </row>
    <row r="1894" spans="1:18" ht="12.75">
      <c r="A1894" s="85" t="s">
        <v>2132</v>
      </c>
      <c r="B1894" s="11" t="s">
        <v>2132</v>
      </c>
      <c r="C1894" s="36">
        <v>4220</v>
      </c>
      <c r="E1894" s="3" t="s">
        <v>728</v>
      </c>
      <c r="F1894" s="37">
        <f aca="true" t="shared" si="445" ref="F1894:L1894">F1026</f>
        <v>228740</v>
      </c>
      <c r="G1894" s="37">
        <f t="shared" si="445"/>
        <v>243418.80500000002</v>
      </c>
      <c r="H1894" s="37">
        <f t="shared" si="445"/>
        <v>296169.89</v>
      </c>
      <c r="I1894" s="8">
        <f t="shared" si="445"/>
        <v>309604.12</v>
      </c>
      <c r="J1894" s="8">
        <f t="shared" si="445"/>
        <v>373584.95999999996</v>
      </c>
      <c r="K1894" s="8">
        <f t="shared" si="445"/>
        <v>321899.47000000003</v>
      </c>
      <c r="L1894" s="9">
        <f t="shared" si="445"/>
        <v>524057.79</v>
      </c>
      <c r="M1894" s="9">
        <f aca="true" t="shared" si="446" ref="M1894:R1894">M1026</f>
        <v>381825.35</v>
      </c>
      <c r="N1894" s="9">
        <f t="shared" si="446"/>
        <v>373607.7100000001</v>
      </c>
      <c r="O1894" s="9">
        <f t="shared" si="446"/>
        <v>398145</v>
      </c>
      <c r="P1894" s="9">
        <f t="shared" si="446"/>
        <v>429838</v>
      </c>
      <c r="Q1894" s="9">
        <f t="shared" si="446"/>
        <v>535730</v>
      </c>
      <c r="R1894" s="9">
        <f t="shared" si="446"/>
        <v>0</v>
      </c>
    </row>
    <row r="1895" spans="1:18" ht="12.75">
      <c r="A1895" s="85"/>
      <c r="B1895" s="36">
        <v>315</v>
      </c>
      <c r="C1895" s="36">
        <v>4230</v>
      </c>
      <c r="E1895" s="3" t="s">
        <v>221</v>
      </c>
      <c r="F1895" s="37"/>
      <c r="G1895" s="37"/>
      <c r="H1895" s="37"/>
      <c r="J1895" s="8"/>
      <c r="L1895" s="9">
        <f aca="true" t="shared" si="447" ref="L1895:R1895">L1038</f>
        <v>319877.85699999996</v>
      </c>
      <c r="M1895" s="9">
        <f t="shared" si="447"/>
        <v>812450.77</v>
      </c>
      <c r="N1895" s="9">
        <f t="shared" si="447"/>
        <v>462065.51</v>
      </c>
      <c r="O1895" s="9">
        <f t="shared" si="447"/>
        <v>411401</v>
      </c>
      <c r="P1895" s="9">
        <f>P1038</f>
        <v>411401</v>
      </c>
      <c r="Q1895" s="9">
        <f t="shared" si="447"/>
        <v>426429</v>
      </c>
      <c r="R1895" s="9">
        <f t="shared" si="447"/>
        <v>0</v>
      </c>
    </row>
    <row r="1896" spans="1:18" ht="12.75">
      <c r="A1896" s="85" t="s">
        <v>2133</v>
      </c>
      <c r="B1896" s="11" t="s">
        <v>2133</v>
      </c>
      <c r="C1896" s="36">
        <v>4250</v>
      </c>
      <c r="E1896" s="3" t="s">
        <v>223</v>
      </c>
      <c r="F1896" s="37">
        <f aca="true" t="shared" si="448" ref="F1896:M1896">F1072</f>
        <v>253874.5</v>
      </c>
      <c r="G1896" s="37">
        <f t="shared" si="448"/>
        <v>240877.17999999996</v>
      </c>
      <c r="H1896" s="37">
        <f t="shared" si="448"/>
        <v>244830.055</v>
      </c>
      <c r="I1896" s="8">
        <f t="shared" si="448"/>
        <v>267798.7500000001</v>
      </c>
      <c r="J1896" s="8">
        <f t="shared" si="448"/>
        <v>317648.235</v>
      </c>
      <c r="K1896" s="8">
        <f t="shared" si="448"/>
        <v>343451.70499999996</v>
      </c>
      <c r="L1896" s="9">
        <f t="shared" si="448"/>
        <v>412911.05</v>
      </c>
      <c r="M1896" s="9">
        <f t="shared" si="448"/>
        <v>431216.97000000003</v>
      </c>
      <c r="N1896" s="9">
        <f>N1072</f>
        <v>451792.99</v>
      </c>
      <c r="O1896" s="9">
        <f>O1072</f>
        <v>376899</v>
      </c>
      <c r="P1896" s="9">
        <f>P1072</f>
        <v>328899</v>
      </c>
      <c r="Q1896" s="9">
        <f>Q1072</f>
        <v>387327</v>
      </c>
      <c r="R1896" s="9">
        <f>R1072</f>
        <v>0</v>
      </c>
    </row>
    <row r="1897" spans="1:18" ht="12.75">
      <c r="A1897" s="85" t="s">
        <v>2134</v>
      </c>
      <c r="B1897" s="11" t="s">
        <v>2134</v>
      </c>
      <c r="C1897" s="36">
        <v>4260</v>
      </c>
      <c r="E1897" s="3" t="s">
        <v>868</v>
      </c>
      <c r="F1897" s="37">
        <f aca="true" t="shared" si="449" ref="F1897:M1897">F1090</f>
        <v>79800.5</v>
      </c>
      <c r="G1897" s="37">
        <f t="shared" si="449"/>
        <v>96400.44</v>
      </c>
      <c r="H1897" s="37">
        <f t="shared" si="449"/>
        <v>91321.445</v>
      </c>
      <c r="I1897" s="8">
        <f t="shared" si="449"/>
        <v>93572.92</v>
      </c>
      <c r="J1897" s="8">
        <f t="shared" si="449"/>
        <v>99874.525</v>
      </c>
      <c r="K1897" s="8">
        <f t="shared" si="449"/>
        <v>105542.65000000001</v>
      </c>
      <c r="L1897" s="9">
        <f t="shared" si="449"/>
        <v>176255.53999999998</v>
      </c>
      <c r="M1897" s="9">
        <f t="shared" si="449"/>
        <v>188867.78000000003</v>
      </c>
      <c r="N1897" s="9">
        <f>N1090</f>
        <v>212732.97</v>
      </c>
      <c r="O1897" s="9">
        <f>O1090</f>
        <v>214396</v>
      </c>
      <c r="P1897" s="9">
        <f>P1090</f>
        <v>203467</v>
      </c>
      <c r="Q1897" s="9">
        <f>Q1090</f>
        <v>213389</v>
      </c>
      <c r="R1897" s="9">
        <f>R1090</f>
        <v>0</v>
      </c>
    </row>
    <row r="1898" spans="1:18" ht="12.75">
      <c r="A1898" s="85" t="s">
        <v>2135</v>
      </c>
      <c r="B1898" s="11" t="s">
        <v>2135</v>
      </c>
      <c r="C1898" s="36">
        <v>6510</v>
      </c>
      <c r="E1898" s="3" t="s">
        <v>2136</v>
      </c>
      <c r="F1898" s="37">
        <f aca="true" t="shared" si="450" ref="F1898:M1898">F1110</f>
        <v>53767.5</v>
      </c>
      <c r="G1898" s="37">
        <f t="shared" si="450"/>
        <v>66642.39</v>
      </c>
      <c r="H1898" s="37">
        <f t="shared" si="450"/>
        <v>61165.015</v>
      </c>
      <c r="I1898" s="8">
        <f t="shared" si="450"/>
        <v>78330.23999999999</v>
      </c>
      <c r="J1898" s="8">
        <f t="shared" si="450"/>
        <v>72912.235</v>
      </c>
      <c r="K1898" s="8">
        <f t="shared" si="450"/>
        <v>72602.675</v>
      </c>
      <c r="L1898" s="9">
        <f t="shared" si="450"/>
        <v>65516.25</v>
      </c>
      <c r="M1898" s="9">
        <f t="shared" si="450"/>
        <v>70561.81999999999</v>
      </c>
      <c r="N1898" s="9">
        <f>N1110</f>
        <v>69579.45</v>
      </c>
      <c r="O1898" s="9">
        <f>O1110</f>
        <v>46357</v>
      </c>
      <c r="P1898" s="9">
        <f>P1110</f>
        <v>42747</v>
      </c>
      <c r="Q1898" s="9">
        <f>Q1110</f>
        <v>74193</v>
      </c>
      <c r="R1898" s="9">
        <f>R1110</f>
        <v>0</v>
      </c>
    </row>
    <row r="1899" spans="1:18" ht="12.75">
      <c r="A1899" s="85">
        <v>325</v>
      </c>
      <c r="B1899" s="86">
        <v>325</v>
      </c>
      <c r="C1899" s="36">
        <v>6500</v>
      </c>
      <c r="E1899" s="3" t="s">
        <v>1314</v>
      </c>
      <c r="F1899" s="37">
        <f aca="true" t="shared" si="451" ref="F1899:M1899">F1176</f>
        <v>34873.5</v>
      </c>
      <c r="G1899" s="37">
        <f t="shared" si="451"/>
        <v>25457.625</v>
      </c>
      <c r="H1899" s="37">
        <f t="shared" si="451"/>
        <v>117060.285</v>
      </c>
      <c r="I1899" s="8">
        <f t="shared" si="451"/>
        <v>329643.43000000005</v>
      </c>
      <c r="J1899" s="8" t="e">
        <f t="shared" si="451"/>
        <v>#REF!</v>
      </c>
      <c r="K1899" s="8" t="e">
        <f t="shared" si="451"/>
        <v>#REF!</v>
      </c>
      <c r="L1899" s="9">
        <f t="shared" si="451"/>
        <v>422837.84</v>
      </c>
      <c r="M1899" s="9">
        <f t="shared" si="451"/>
        <v>469520.92000000004</v>
      </c>
      <c r="N1899" s="9">
        <f>N1176</f>
        <v>485965.51</v>
      </c>
      <c r="O1899" s="9">
        <f>O1176</f>
        <v>528485</v>
      </c>
      <c r="P1899" s="9">
        <f>P1176</f>
        <v>528485</v>
      </c>
      <c r="Q1899" s="9">
        <f>Q1176</f>
        <v>564078</v>
      </c>
      <c r="R1899" s="9">
        <f>R1176</f>
        <v>0</v>
      </c>
    </row>
    <row r="1900" spans="1:18" ht="12.75">
      <c r="A1900" s="85" t="s">
        <v>2137</v>
      </c>
      <c r="B1900" s="86" t="s">
        <v>2137</v>
      </c>
      <c r="C1900" s="36">
        <v>4330</v>
      </c>
      <c r="E1900" s="3" t="s">
        <v>2138</v>
      </c>
      <c r="F1900" s="37">
        <f aca="true" t="shared" si="452" ref="F1900:M1900">F1132</f>
        <v>1195257.5</v>
      </c>
      <c r="G1900" s="37">
        <f t="shared" si="452"/>
        <v>1266408.16</v>
      </c>
      <c r="H1900" s="37">
        <f t="shared" si="452"/>
        <v>1340545.085</v>
      </c>
      <c r="I1900" s="8">
        <f t="shared" si="452"/>
        <v>1406327.365</v>
      </c>
      <c r="J1900" s="8">
        <f t="shared" si="452"/>
        <v>1451520.7549999997</v>
      </c>
      <c r="K1900" s="8">
        <f t="shared" si="452"/>
        <v>1389705.26</v>
      </c>
      <c r="L1900" s="9">
        <f t="shared" si="452"/>
        <v>2611220.73</v>
      </c>
      <c r="M1900" s="9">
        <f t="shared" si="452"/>
        <v>2827653.3200000003</v>
      </c>
      <c r="N1900" s="9">
        <f>N1132</f>
        <v>2143449.2800000003</v>
      </c>
      <c r="O1900" s="9">
        <f>O1132</f>
        <v>2400286</v>
      </c>
      <c r="P1900" s="9">
        <f>P1132</f>
        <v>2391231</v>
      </c>
      <c r="Q1900" s="9">
        <f>Q1132</f>
        <v>2460397</v>
      </c>
      <c r="R1900" s="9">
        <f>R1132</f>
        <v>0</v>
      </c>
    </row>
    <row r="1901" spans="1:18" ht="12.75">
      <c r="A1901" s="85" t="s">
        <v>2139</v>
      </c>
      <c r="B1901" s="86" t="s">
        <v>2139</v>
      </c>
      <c r="C1901" s="36">
        <v>4910</v>
      </c>
      <c r="E1901" s="3" t="s">
        <v>1136</v>
      </c>
      <c r="F1901" s="37">
        <f aca="true" t="shared" si="453" ref="F1901:M1901">F1219</f>
        <v>205009</v>
      </c>
      <c r="G1901" s="37">
        <f t="shared" si="453"/>
        <v>210766.15499999994</v>
      </c>
      <c r="H1901" s="37">
        <f t="shared" si="453"/>
        <v>227754.70999999996</v>
      </c>
      <c r="I1901" s="8">
        <f t="shared" si="453"/>
        <v>247390.75499999995</v>
      </c>
      <c r="J1901" s="8">
        <f t="shared" si="453"/>
        <v>255562.89999999997</v>
      </c>
      <c r="K1901" s="8">
        <f t="shared" si="453"/>
        <v>276041.4000000001</v>
      </c>
      <c r="L1901" s="9">
        <f t="shared" si="453"/>
        <v>307795.6</v>
      </c>
      <c r="M1901" s="9">
        <f t="shared" si="453"/>
        <v>308302.56000000006</v>
      </c>
      <c r="N1901" s="9">
        <f>N1219</f>
        <v>337334.12</v>
      </c>
      <c r="O1901" s="9">
        <f>O1219</f>
        <v>410380</v>
      </c>
      <c r="P1901" s="9">
        <f>P1219</f>
        <v>405982</v>
      </c>
      <c r="Q1901" s="9">
        <f>Q1219</f>
        <v>506169</v>
      </c>
      <c r="R1901" s="9">
        <f>R1219</f>
        <v>0</v>
      </c>
    </row>
    <row r="1902" spans="1:18" ht="12.75">
      <c r="A1902" s="85" t="s">
        <v>2140</v>
      </c>
      <c r="B1902" s="86" t="s">
        <v>2140</v>
      </c>
      <c r="C1902" s="36">
        <v>4240</v>
      </c>
      <c r="E1902" s="3" t="s">
        <v>966</v>
      </c>
      <c r="F1902" s="37">
        <f aca="true" t="shared" si="454" ref="F1902:M1902">F1137</f>
        <v>185817</v>
      </c>
      <c r="G1902" s="37">
        <f t="shared" si="454"/>
        <v>180125.27</v>
      </c>
      <c r="H1902" s="37">
        <f t="shared" si="454"/>
        <v>177852.49</v>
      </c>
      <c r="I1902" s="8">
        <f t="shared" si="454"/>
        <v>174804.25</v>
      </c>
      <c r="J1902" s="8">
        <f t="shared" si="454"/>
        <v>180720.42</v>
      </c>
      <c r="K1902" s="8">
        <f t="shared" si="454"/>
        <v>181297.11</v>
      </c>
      <c r="L1902" s="9">
        <f t="shared" si="454"/>
        <v>190316.41</v>
      </c>
      <c r="M1902" s="9">
        <f t="shared" si="454"/>
        <v>186374.91</v>
      </c>
      <c r="N1902" s="9">
        <f>N1137</f>
        <v>199836.4</v>
      </c>
      <c r="O1902" s="9">
        <f>O1137</f>
        <v>190000</v>
      </c>
      <c r="P1902" s="9">
        <f>P1137</f>
        <v>228000</v>
      </c>
      <c r="Q1902" s="9">
        <f>Q1137</f>
        <v>237500</v>
      </c>
      <c r="R1902" s="9">
        <f>R1137</f>
        <v>0</v>
      </c>
    </row>
    <row r="1903" spans="1:18" ht="12.75">
      <c r="A1903" s="85">
        <v>324</v>
      </c>
      <c r="B1903" s="86">
        <v>324</v>
      </c>
      <c r="C1903" s="36">
        <v>1920</v>
      </c>
      <c r="E1903" s="3" t="s">
        <v>970</v>
      </c>
      <c r="F1903" s="37">
        <f>F1147</f>
        <v>0</v>
      </c>
      <c r="G1903" s="37">
        <f>G1147</f>
        <v>0</v>
      </c>
      <c r="H1903" s="37">
        <f>H1147</f>
        <v>0</v>
      </c>
      <c r="I1903" s="8">
        <f>I1147</f>
        <v>0</v>
      </c>
      <c r="J1903" s="8">
        <f>J1147</f>
        <v>0</v>
      </c>
      <c r="K1903" s="9">
        <f aca="true" t="shared" si="455" ref="K1903:R1903">K1274</f>
        <v>503973.1799999999</v>
      </c>
      <c r="L1903" s="9">
        <f t="shared" si="455"/>
        <v>489624.14999999997</v>
      </c>
      <c r="M1903" s="9">
        <f t="shared" si="455"/>
        <v>525386.3599999999</v>
      </c>
      <c r="N1903" s="9">
        <f t="shared" si="455"/>
        <v>622356.9199999999</v>
      </c>
      <c r="O1903" s="179">
        <f t="shared" si="455"/>
        <v>906642.6400000001</v>
      </c>
      <c r="P1903" s="179">
        <f>P1274</f>
        <v>860487</v>
      </c>
      <c r="Q1903" s="179">
        <f t="shared" si="455"/>
        <v>852595</v>
      </c>
      <c r="R1903" s="179">
        <f t="shared" si="455"/>
        <v>0</v>
      </c>
    </row>
    <row r="1904" spans="1:18" ht="12.75">
      <c r="A1904" s="85"/>
      <c r="B1904" s="86"/>
      <c r="E1904" s="55" t="s">
        <v>969</v>
      </c>
      <c r="F1904" s="21">
        <f>SUM(F1889:F1902)</f>
        <v>2867846.5</v>
      </c>
      <c r="G1904" s="21">
        <f>SUM(G1889:G1902)</f>
        <v>3001035.6849999996</v>
      </c>
      <c r="H1904" s="21">
        <f>SUM(H1889:H1902)</f>
        <v>3327261.1949999994</v>
      </c>
      <c r="I1904" s="22">
        <f>SUM(I1889:I1902)</f>
        <v>3821948.42</v>
      </c>
      <c r="J1904" s="22" t="e">
        <f aca="true" t="shared" si="456" ref="J1904:R1904">SUM(J1889:J1903)</f>
        <v>#REF!</v>
      </c>
      <c r="K1904" s="22" t="e">
        <f t="shared" si="456"/>
        <v>#REF!</v>
      </c>
      <c r="L1904" s="22">
        <f t="shared" si="456"/>
        <v>6458719.487</v>
      </c>
      <c r="M1904" s="22">
        <f t="shared" si="456"/>
        <v>7083279.380000001</v>
      </c>
      <c r="N1904" s="22">
        <f t="shared" si="456"/>
        <v>6275617.920000001</v>
      </c>
      <c r="O1904" s="180">
        <f t="shared" si="456"/>
        <v>6970122.640000001</v>
      </c>
      <c r="P1904" s="180">
        <f>SUM(P1889:P1903)</f>
        <v>6871291</v>
      </c>
      <c r="Q1904" s="180">
        <f>SUM(Q1889:Q1903)</f>
        <v>7400653</v>
      </c>
      <c r="R1904" s="180">
        <f t="shared" si="456"/>
        <v>0</v>
      </c>
    </row>
    <row r="1905" spans="1:10" ht="12.75">
      <c r="A1905" s="85"/>
      <c r="B1905" s="86"/>
      <c r="F1905" s="37"/>
      <c r="G1905" s="37"/>
      <c r="H1905" s="37"/>
      <c r="J1905" s="8"/>
    </row>
    <row r="1906" spans="1:18" ht="12.75">
      <c r="A1906" s="85" t="s">
        <v>2141</v>
      </c>
      <c r="B1906" s="86" t="s">
        <v>2141</v>
      </c>
      <c r="C1906" s="36">
        <v>5100</v>
      </c>
      <c r="E1906" s="3" t="s">
        <v>2142</v>
      </c>
      <c r="F1906" s="37">
        <f aca="true" t="shared" si="457" ref="F1906:L1906">F1315</f>
        <v>144265</v>
      </c>
      <c r="G1906" s="37">
        <f t="shared" si="457"/>
        <v>149011.04</v>
      </c>
      <c r="H1906" s="37">
        <f t="shared" si="457"/>
        <v>187407.77999999997</v>
      </c>
      <c r="I1906" s="8">
        <f t="shared" si="457"/>
        <v>164299.20000000004</v>
      </c>
      <c r="J1906" s="8">
        <f t="shared" si="457"/>
        <v>194575.855</v>
      </c>
      <c r="K1906" s="8">
        <f t="shared" si="457"/>
        <v>219348.12</v>
      </c>
      <c r="L1906" s="9">
        <f t="shared" si="457"/>
        <v>226025.03000000003</v>
      </c>
      <c r="M1906" s="9">
        <f aca="true" t="shared" si="458" ref="M1906:R1906">M1315</f>
        <v>211065.88999999996</v>
      </c>
      <c r="N1906" s="9">
        <f t="shared" si="458"/>
        <v>254125.35000000003</v>
      </c>
      <c r="O1906" s="9">
        <f t="shared" si="458"/>
        <v>286486</v>
      </c>
      <c r="P1906" s="9">
        <f t="shared" si="458"/>
        <v>278437</v>
      </c>
      <c r="Q1906" s="9">
        <f t="shared" si="458"/>
        <v>313043</v>
      </c>
      <c r="R1906" s="9">
        <f t="shared" si="458"/>
        <v>0</v>
      </c>
    </row>
    <row r="1907" spans="1:18" ht="12.75">
      <c r="A1907" s="85" t="s">
        <v>2143</v>
      </c>
      <c r="B1907" s="86" t="s">
        <v>2143</v>
      </c>
      <c r="C1907" s="36">
        <v>2920</v>
      </c>
      <c r="E1907" s="3" t="s">
        <v>1267</v>
      </c>
      <c r="F1907" s="37">
        <f aca="true" t="shared" si="459" ref="F1907:L1907">F1341</f>
        <v>29559.5</v>
      </c>
      <c r="G1907" s="37">
        <f t="shared" si="459"/>
        <v>39231.454999999994</v>
      </c>
      <c r="H1907" s="37">
        <f t="shared" si="459"/>
        <v>35539.75</v>
      </c>
      <c r="I1907" s="8">
        <f t="shared" si="459"/>
        <v>29862.405</v>
      </c>
      <c r="J1907" s="8">
        <f t="shared" si="459"/>
        <v>47595.86500000001</v>
      </c>
      <c r="K1907" s="8">
        <f t="shared" si="459"/>
        <v>58373.284999999996</v>
      </c>
      <c r="L1907" s="9">
        <f t="shared" si="459"/>
        <v>53569.524999999994</v>
      </c>
      <c r="M1907" s="9">
        <f aca="true" t="shared" si="460" ref="M1907:R1907">M1341</f>
        <v>60743.9</v>
      </c>
      <c r="N1907" s="9">
        <f t="shared" si="460"/>
        <v>60710.23999999999</v>
      </c>
      <c r="O1907" s="9">
        <f t="shared" si="460"/>
        <v>65837</v>
      </c>
      <c r="P1907" s="9">
        <f t="shared" si="460"/>
        <v>66047</v>
      </c>
      <c r="Q1907" s="9">
        <f t="shared" si="460"/>
        <v>67381</v>
      </c>
      <c r="R1907" s="9">
        <f t="shared" si="460"/>
        <v>0</v>
      </c>
    </row>
    <row r="1908" spans="1:18" ht="12.75">
      <c r="A1908" s="85"/>
      <c r="B1908" s="86">
        <v>570</v>
      </c>
      <c r="C1908" s="36">
        <v>5420</v>
      </c>
      <c r="E1908" s="3" t="s">
        <v>1550</v>
      </c>
      <c r="F1908" s="8" t="e">
        <f aca="true" t="shared" si="461" ref="F1908:M1908">F1363</f>
        <v>#REF!</v>
      </c>
      <c r="G1908" s="8" t="e">
        <f t="shared" si="461"/>
        <v>#REF!</v>
      </c>
      <c r="H1908" s="8" t="e">
        <f t="shared" si="461"/>
        <v>#REF!</v>
      </c>
      <c r="I1908" s="8" t="e">
        <f t="shared" si="461"/>
        <v>#REF!</v>
      </c>
      <c r="J1908" s="8" t="e">
        <f t="shared" si="461"/>
        <v>#REF!</v>
      </c>
      <c r="K1908" s="8" t="e">
        <f t="shared" si="461"/>
        <v>#REF!</v>
      </c>
      <c r="L1908" s="9">
        <f t="shared" si="461"/>
        <v>26245.789999999997</v>
      </c>
      <c r="M1908" s="9">
        <f t="shared" si="461"/>
        <v>32627.09</v>
      </c>
      <c r="N1908" s="9">
        <f>N1363</f>
        <v>37071.31999999999</v>
      </c>
      <c r="O1908" s="9">
        <f>O1363</f>
        <v>44580</v>
      </c>
      <c r="P1908" s="9">
        <f>P1363</f>
        <v>38954</v>
      </c>
      <c r="Q1908" s="9">
        <f>Q1363</f>
        <v>42770</v>
      </c>
      <c r="R1908" s="9">
        <f>R1363</f>
        <v>0</v>
      </c>
    </row>
    <row r="1909" spans="1:18" ht="12.75">
      <c r="A1909" s="85"/>
      <c r="B1909" s="86">
        <v>522</v>
      </c>
      <c r="C1909" s="36">
        <v>2440</v>
      </c>
      <c r="E1909" s="3" t="s">
        <v>921</v>
      </c>
      <c r="F1909" s="37"/>
      <c r="G1909" s="37"/>
      <c r="H1909" s="37"/>
      <c r="I1909" s="8">
        <f aca="true" t="shared" si="462" ref="I1909:R1909">I1376</f>
        <v>0</v>
      </c>
      <c r="J1909" s="8">
        <f t="shared" si="462"/>
        <v>0</v>
      </c>
      <c r="K1909" s="8">
        <f t="shared" si="462"/>
        <v>0</v>
      </c>
      <c r="L1909" s="9">
        <f t="shared" si="462"/>
        <v>6584.37</v>
      </c>
      <c r="M1909" s="9">
        <f t="shared" si="462"/>
        <v>2088.7</v>
      </c>
      <c r="N1909" s="9">
        <f t="shared" si="462"/>
        <v>5396.19</v>
      </c>
      <c r="O1909" s="9">
        <f t="shared" si="462"/>
        <v>5430</v>
      </c>
      <c r="P1909" s="9">
        <f>P1376</f>
        <v>5430</v>
      </c>
      <c r="Q1909" s="9">
        <f t="shared" si="462"/>
        <v>5580</v>
      </c>
      <c r="R1909" s="9">
        <f t="shared" si="462"/>
        <v>0</v>
      </c>
    </row>
    <row r="1910" spans="1:18" ht="12.75">
      <c r="A1910" s="85" t="s">
        <v>2144</v>
      </c>
      <c r="B1910" s="86" t="s">
        <v>2144</v>
      </c>
      <c r="C1910" s="36">
        <v>5410</v>
      </c>
      <c r="E1910" s="3" t="s">
        <v>1482</v>
      </c>
      <c r="F1910" s="37">
        <f aca="true" t="shared" si="463" ref="F1910:L1910">F1410</f>
        <v>227174</v>
      </c>
      <c r="G1910" s="37">
        <f t="shared" si="463"/>
        <v>299519.05</v>
      </c>
      <c r="H1910" s="37">
        <f t="shared" si="463"/>
        <v>296422.5950000001</v>
      </c>
      <c r="I1910" s="8">
        <f t="shared" si="463"/>
        <v>328265.51</v>
      </c>
      <c r="J1910" s="8">
        <f t="shared" si="463"/>
        <v>346778.435</v>
      </c>
      <c r="K1910" s="8">
        <f t="shared" si="463"/>
        <v>364218.86999999994</v>
      </c>
      <c r="L1910" s="9">
        <f t="shared" si="463"/>
        <v>466737.32</v>
      </c>
      <c r="M1910" s="9">
        <f aca="true" t="shared" si="464" ref="M1910:R1910">M1410</f>
        <v>455196.24000000005</v>
      </c>
      <c r="N1910" s="9">
        <f t="shared" si="464"/>
        <v>451658.4300000001</v>
      </c>
      <c r="O1910" s="9">
        <f t="shared" si="464"/>
        <v>435015</v>
      </c>
      <c r="P1910" s="9">
        <f t="shared" si="464"/>
        <v>442089</v>
      </c>
      <c r="Q1910" s="9">
        <f t="shared" si="464"/>
        <v>443441</v>
      </c>
      <c r="R1910" s="9">
        <f t="shared" si="464"/>
        <v>0</v>
      </c>
    </row>
    <row r="1911" spans="1:18" ht="12.75">
      <c r="A1911" s="85" t="s">
        <v>2145</v>
      </c>
      <c r="B1911" s="86" t="s">
        <v>2145</v>
      </c>
      <c r="C1911" s="36">
        <v>5430</v>
      </c>
      <c r="E1911" s="3" t="s">
        <v>2146</v>
      </c>
      <c r="F1911" s="37">
        <f aca="true" t="shared" si="465" ref="F1911:L1911">F1432</f>
        <v>14884.5</v>
      </c>
      <c r="G1911" s="37">
        <f t="shared" si="465"/>
        <v>18615.855000000003</v>
      </c>
      <c r="H1911" s="37">
        <f t="shared" si="465"/>
        <v>15570.580000000002</v>
      </c>
      <c r="I1911" s="8">
        <f t="shared" si="465"/>
        <v>13559.595</v>
      </c>
      <c r="J1911" s="8">
        <f t="shared" si="465"/>
        <v>15126.225</v>
      </c>
      <c r="K1911" s="8">
        <f t="shared" si="465"/>
        <v>17925.955</v>
      </c>
      <c r="L1911" s="9">
        <f t="shared" si="465"/>
        <v>14480.079999999998</v>
      </c>
      <c r="M1911" s="9">
        <f aca="true" t="shared" si="466" ref="M1911:R1911">M1432</f>
        <v>23210.479999999996</v>
      </c>
      <c r="N1911" s="9">
        <f t="shared" si="466"/>
        <v>20399.1</v>
      </c>
      <c r="O1911" s="9">
        <f t="shared" si="466"/>
        <v>24205</v>
      </c>
      <c r="P1911" s="9">
        <f t="shared" si="466"/>
        <v>24155</v>
      </c>
      <c r="Q1911" s="9">
        <f t="shared" si="466"/>
        <v>24725</v>
      </c>
      <c r="R1911" s="9">
        <f t="shared" si="466"/>
        <v>0</v>
      </c>
    </row>
    <row r="1912" spans="1:18" ht="12.75">
      <c r="A1912" s="85"/>
      <c r="B1912" s="86"/>
      <c r="E1912" s="55" t="s">
        <v>1565</v>
      </c>
      <c r="F1912" s="21" t="e">
        <f aca="true" t="shared" si="467" ref="F1912:L1912">SUM(F1906:F1911)</f>
        <v>#REF!</v>
      </c>
      <c r="G1912" s="21" t="e">
        <f t="shared" si="467"/>
        <v>#REF!</v>
      </c>
      <c r="H1912" s="21" t="e">
        <f t="shared" si="467"/>
        <v>#REF!</v>
      </c>
      <c r="I1912" s="22" t="e">
        <f t="shared" si="467"/>
        <v>#REF!</v>
      </c>
      <c r="J1912" s="22" t="e">
        <f t="shared" si="467"/>
        <v>#REF!</v>
      </c>
      <c r="K1912" s="22" t="e">
        <f t="shared" si="467"/>
        <v>#REF!</v>
      </c>
      <c r="L1912" s="7">
        <f t="shared" si="467"/>
        <v>793642.115</v>
      </c>
      <c r="M1912" s="7">
        <f aca="true" t="shared" si="468" ref="M1912:R1912">SUM(M1906:M1911)</f>
        <v>784932.3</v>
      </c>
      <c r="N1912" s="7">
        <f t="shared" si="468"/>
        <v>829360.6300000001</v>
      </c>
      <c r="O1912" s="7">
        <f t="shared" si="468"/>
        <v>861553</v>
      </c>
      <c r="P1912" s="7">
        <f t="shared" si="468"/>
        <v>855112</v>
      </c>
      <c r="Q1912" s="7">
        <f t="shared" si="468"/>
        <v>896940</v>
      </c>
      <c r="R1912" s="7">
        <f t="shared" si="468"/>
        <v>0</v>
      </c>
    </row>
    <row r="1913" spans="1:10" ht="12.75">
      <c r="A1913" s="85"/>
      <c r="B1913" s="86"/>
      <c r="F1913" s="37"/>
      <c r="G1913" s="37"/>
      <c r="H1913" s="37"/>
      <c r="J1913" s="8"/>
    </row>
    <row r="1914" spans="1:18" ht="12.75">
      <c r="A1914" s="85" t="s">
        <v>2147</v>
      </c>
      <c r="B1914" s="86" t="s">
        <v>2147</v>
      </c>
      <c r="C1914" s="36">
        <v>6110</v>
      </c>
      <c r="E1914" s="3" t="s">
        <v>2148</v>
      </c>
      <c r="F1914" s="37">
        <f aca="true" t="shared" si="469" ref="F1914:L1914">F1469</f>
        <v>206176</v>
      </c>
      <c r="G1914" s="37">
        <f t="shared" si="469"/>
        <v>217064.15500000003</v>
      </c>
      <c r="H1914" s="37">
        <f t="shared" si="469"/>
        <v>227334.6</v>
      </c>
      <c r="I1914" s="8">
        <f t="shared" si="469"/>
        <v>242659.39999999997</v>
      </c>
      <c r="J1914" s="8">
        <f t="shared" si="469"/>
        <v>263444.835</v>
      </c>
      <c r="K1914" s="8">
        <f t="shared" si="469"/>
        <v>274734.5249999999</v>
      </c>
      <c r="L1914" s="9">
        <f t="shared" si="469"/>
        <v>266241.78500000003</v>
      </c>
      <c r="M1914" s="9">
        <f aca="true" t="shared" si="470" ref="M1914:R1914">M1469</f>
        <v>340870.08</v>
      </c>
      <c r="N1914" s="9">
        <f t="shared" si="470"/>
        <v>351638.5300000001</v>
      </c>
      <c r="O1914" s="9">
        <f t="shared" si="470"/>
        <v>349158</v>
      </c>
      <c r="P1914" s="9">
        <f t="shared" si="470"/>
        <v>349833</v>
      </c>
      <c r="Q1914" s="9">
        <f t="shared" si="470"/>
        <v>378797</v>
      </c>
      <c r="R1914" s="9">
        <f t="shared" si="470"/>
        <v>0</v>
      </c>
    </row>
    <row r="1915" spans="1:18" ht="12.75">
      <c r="A1915" s="85" t="s">
        <v>2149</v>
      </c>
      <c r="B1915" s="86" t="s">
        <v>2149</v>
      </c>
      <c r="C1915" s="36">
        <v>6120</v>
      </c>
      <c r="E1915" s="3" t="s">
        <v>2150</v>
      </c>
      <c r="F1915" s="37">
        <f aca="true" t="shared" si="471" ref="F1915:L1915">F1488</f>
        <v>592221.5</v>
      </c>
      <c r="G1915" s="37">
        <f t="shared" si="471"/>
        <v>639393.21</v>
      </c>
      <c r="H1915" s="37">
        <f t="shared" si="471"/>
        <v>711078.3650000001</v>
      </c>
      <c r="I1915" s="8">
        <f t="shared" si="471"/>
        <v>732541.0499999999</v>
      </c>
      <c r="J1915" s="8">
        <f t="shared" si="471"/>
        <v>803436.5399999999</v>
      </c>
      <c r="K1915" s="8">
        <f t="shared" si="471"/>
        <v>817659.4650000001</v>
      </c>
      <c r="L1915" s="9">
        <f t="shared" si="471"/>
        <v>797715.17</v>
      </c>
      <c r="M1915" s="9">
        <f aca="true" t="shared" si="472" ref="M1915:R1915">M1488</f>
        <v>955197.91</v>
      </c>
      <c r="N1915" s="9">
        <f t="shared" si="472"/>
        <v>1003459.3400000001</v>
      </c>
      <c r="O1915" s="9">
        <f t="shared" si="472"/>
        <v>999494</v>
      </c>
      <c r="P1915" s="9">
        <f t="shared" si="472"/>
        <v>999294</v>
      </c>
      <c r="Q1915" s="9">
        <f t="shared" si="472"/>
        <v>1043935</v>
      </c>
      <c r="R1915" s="9">
        <f t="shared" si="472"/>
        <v>0</v>
      </c>
    </row>
    <row r="1916" spans="1:18" ht="12.75">
      <c r="A1916" s="85" t="s">
        <v>2151</v>
      </c>
      <c r="B1916" s="86" t="s">
        <v>2151</v>
      </c>
      <c r="C1916" s="36">
        <v>6130</v>
      </c>
      <c r="E1916" s="3" t="s">
        <v>2152</v>
      </c>
      <c r="F1916" s="37">
        <f aca="true" t="shared" si="473" ref="F1916:L1916">F1509</f>
        <v>154486</v>
      </c>
      <c r="G1916" s="37">
        <f t="shared" si="473"/>
        <v>176052.545</v>
      </c>
      <c r="H1916" s="37">
        <f t="shared" si="473"/>
        <v>167315.66499999998</v>
      </c>
      <c r="I1916" s="8">
        <f t="shared" si="473"/>
        <v>165546.155</v>
      </c>
      <c r="J1916" s="8">
        <f t="shared" si="473"/>
        <v>186288.05999999997</v>
      </c>
      <c r="K1916" s="8">
        <f t="shared" si="473"/>
        <v>191178.76499999998</v>
      </c>
      <c r="L1916" s="9">
        <f t="shared" si="473"/>
        <v>179547.23</v>
      </c>
      <c r="M1916" s="9">
        <f aca="true" t="shared" si="474" ref="M1916:R1916">M1509</f>
        <v>212799.66999999998</v>
      </c>
      <c r="N1916" s="9">
        <f t="shared" si="474"/>
        <v>226594.06</v>
      </c>
      <c r="O1916" s="9">
        <f t="shared" si="474"/>
        <v>241800</v>
      </c>
      <c r="P1916" s="9">
        <f t="shared" si="474"/>
        <v>253325</v>
      </c>
      <c r="Q1916" s="9">
        <f t="shared" si="474"/>
        <v>241870</v>
      </c>
      <c r="R1916" s="9">
        <f t="shared" si="474"/>
        <v>0</v>
      </c>
    </row>
    <row r="1917" spans="1:18" ht="12.75">
      <c r="A1917" s="85" t="s">
        <v>2153</v>
      </c>
      <c r="B1917" s="86" t="s">
        <v>2153</v>
      </c>
      <c r="C1917" s="36">
        <v>6310</v>
      </c>
      <c r="E1917" s="3" t="s">
        <v>1811</v>
      </c>
      <c r="F1917" s="37">
        <f aca="true" t="shared" si="475" ref="F1917:L1917">F1535</f>
        <v>113377.5</v>
      </c>
      <c r="G1917" s="37">
        <f t="shared" si="475"/>
        <v>111708.07499999998</v>
      </c>
      <c r="H1917" s="37">
        <f t="shared" si="475"/>
        <v>103911.11499999999</v>
      </c>
      <c r="I1917" s="8">
        <f t="shared" si="475"/>
        <v>109348.82500000001</v>
      </c>
      <c r="J1917" s="8">
        <f t="shared" si="475"/>
        <v>118585.56999999999</v>
      </c>
      <c r="K1917" s="8">
        <f t="shared" si="475"/>
        <v>119078.54</v>
      </c>
      <c r="L1917" s="9">
        <f t="shared" si="475"/>
        <v>128667.13500000001</v>
      </c>
      <c r="M1917" s="9">
        <f aca="true" t="shared" si="476" ref="M1917:R1917">M1535</f>
        <v>132861.55</v>
      </c>
      <c r="N1917" s="9">
        <f t="shared" si="476"/>
        <v>143588.17000000004</v>
      </c>
      <c r="O1917" s="9">
        <f t="shared" si="476"/>
        <v>143670</v>
      </c>
      <c r="P1917" s="9">
        <f t="shared" si="476"/>
        <v>144370</v>
      </c>
      <c r="Q1917" s="9">
        <f t="shared" si="476"/>
        <v>143578</v>
      </c>
      <c r="R1917" s="9">
        <f t="shared" si="476"/>
        <v>0</v>
      </c>
    </row>
    <row r="1918" spans="1:18" ht="12.75">
      <c r="A1918" s="87" t="s">
        <v>2154</v>
      </c>
      <c r="B1918" s="86" t="s">
        <v>2154</v>
      </c>
      <c r="C1918" s="36">
        <v>6320</v>
      </c>
      <c r="E1918" s="3" t="s">
        <v>2155</v>
      </c>
      <c r="F1918" s="37">
        <f aca="true" t="shared" si="477" ref="F1918:L1918">F1572</f>
        <v>342557</v>
      </c>
      <c r="G1918" s="37">
        <f t="shared" si="477"/>
        <v>351856.85000000003</v>
      </c>
      <c r="H1918" s="37">
        <f t="shared" si="477"/>
        <v>395885.10000000003</v>
      </c>
      <c r="I1918" s="8">
        <f t="shared" si="477"/>
        <v>406970.745</v>
      </c>
      <c r="J1918" s="8">
        <f t="shared" si="477"/>
        <v>429503.68000000005</v>
      </c>
      <c r="K1918" s="8">
        <f t="shared" si="477"/>
        <v>437069.3899999999</v>
      </c>
      <c r="L1918" s="9">
        <f t="shared" si="477"/>
        <v>446632.4749999999</v>
      </c>
      <c r="M1918" s="9">
        <f aca="true" t="shared" si="478" ref="M1918:R1918">M1572</f>
        <v>458821.26</v>
      </c>
      <c r="N1918" s="9">
        <f t="shared" si="478"/>
        <v>469858.56</v>
      </c>
      <c r="O1918" s="9">
        <f t="shared" si="478"/>
        <v>453396</v>
      </c>
      <c r="P1918" s="9">
        <f t="shared" si="478"/>
        <v>450516</v>
      </c>
      <c r="Q1918" s="9">
        <f t="shared" si="478"/>
        <v>475856</v>
      </c>
      <c r="R1918" s="9">
        <f t="shared" si="478"/>
        <v>0</v>
      </c>
    </row>
    <row r="1919" spans="1:18" ht="12.75">
      <c r="A1919" s="85"/>
      <c r="B1919" s="86"/>
      <c r="E1919" s="55" t="s">
        <v>1877</v>
      </c>
      <c r="F1919" s="21">
        <f aca="true" t="shared" si="479" ref="F1919:L1919">SUM(F1914:F1918)</f>
        <v>1408818</v>
      </c>
      <c r="G1919" s="21">
        <f t="shared" si="479"/>
        <v>1496074.8350000002</v>
      </c>
      <c r="H1919" s="21">
        <f t="shared" si="479"/>
        <v>1605524.8450000002</v>
      </c>
      <c r="I1919" s="22">
        <f t="shared" si="479"/>
        <v>1657066.1749999998</v>
      </c>
      <c r="J1919" s="22">
        <f t="shared" si="479"/>
        <v>1801258.685</v>
      </c>
      <c r="K1919" s="22">
        <f t="shared" si="479"/>
        <v>1839720.6849999998</v>
      </c>
      <c r="L1919" s="7">
        <f t="shared" si="479"/>
        <v>1818803.795</v>
      </c>
      <c r="M1919" s="7">
        <f aca="true" t="shared" si="480" ref="M1919:R1919">SUM(M1914:M1918)</f>
        <v>2100550.4699999997</v>
      </c>
      <c r="N1919" s="7">
        <f t="shared" si="480"/>
        <v>2195138.66</v>
      </c>
      <c r="O1919" s="7">
        <f t="shared" si="480"/>
        <v>2187518</v>
      </c>
      <c r="P1919" s="7">
        <f t="shared" si="480"/>
        <v>2197338</v>
      </c>
      <c r="Q1919" s="7">
        <f t="shared" si="480"/>
        <v>2284036</v>
      </c>
      <c r="R1919" s="7">
        <f t="shared" si="480"/>
        <v>0</v>
      </c>
    </row>
    <row r="1920" spans="1:10" ht="12.75">
      <c r="A1920" s="85"/>
      <c r="B1920" s="86"/>
      <c r="F1920" s="37"/>
      <c r="G1920" s="37"/>
      <c r="H1920" s="37"/>
      <c r="J1920" s="8"/>
    </row>
    <row r="1921" spans="1:18" ht="12.75">
      <c r="A1921" s="85" t="s">
        <v>2156</v>
      </c>
      <c r="B1921" s="86" t="s">
        <v>2156</v>
      </c>
      <c r="C1921" s="36">
        <v>7100</v>
      </c>
      <c r="E1921" s="3" t="s">
        <v>2157</v>
      </c>
      <c r="F1921" s="37">
        <f aca="true" t="shared" si="481" ref="F1921:L1921">F1599</f>
        <v>2364949</v>
      </c>
      <c r="G1921" s="37">
        <f t="shared" si="481"/>
        <v>1780407</v>
      </c>
      <c r="H1921" s="37">
        <f t="shared" si="481"/>
        <v>1611400</v>
      </c>
      <c r="I1921" s="8">
        <f t="shared" si="481"/>
        <v>1348200</v>
      </c>
      <c r="J1921" s="8">
        <f t="shared" si="481"/>
        <v>1832000</v>
      </c>
      <c r="K1921" s="8">
        <f t="shared" si="481"/>
        <v>1853173</v>
      </c>
      <c r="L1921" s="9">
        <f t="shared" si="481"/>
        <v>2658170</v>
      </c>
      <c r="M1921" s="9">
        <f aca="true" t="shared" si="482" ref="M1921:R1921">M1599</f>
        <v>2944170</v>
      </c>
      <c r="N1921" s="9">
        <f t="shared" si="482"/>
        <v>2798170</v>
      </c>
      <c r="O1921" s="9">
        <f t="shared" si="482"/>
        <v>3243170</v>
      </c>
      <c r="P1921" s="9">
        <f t="shared" si="482"/>
        <v>3243170</v>
      </c>
      <c r="Q1921" s="9">
        <f t="shared" si="482"/>
        <v>3528170</v>
      </c>
      <c r="R1921" s="9">
        <f t="shared" si="482"/>
        <v>0</v>
      </c>
    </row>
    <row r="1922" spans="1:18" ht="12.75">
      <c r="A1922" s="85" t="s">
        <v>2158</v>
      </c>
      <c r="B1922" s="86" t="s">
        <v>2158</v>
      </c>
      <c r="C1922" s="36">
        <v>7510</v>
      </c>
      <c r="E1922" s="3" t="s">
        <v>2159</v>
      </c>
      <c r="F1922" s="37">
        <f aca="true" t="shared" si="483" ref="F1922:L1922">F1623</f>
        <v>1062254</v>
      </c>
      <c r="G1922" s="37">
        <f t="shared" si="483"/>
        <v>951730</v>
      </c>
      <c r="H1922" s="37">
        <f t="shared" si="483"/>
        <v>903623.7000000001</v>
      </c>
      <c r="I1922" s="8">
        <f t="shared" si="483"/>
        <v>1126408.1099999999</v>
      </c>
      <c r="J1922" s="8">
        <f t="shared" si="483"/>
        <v>957985.05</v>
      </c>
      <c r="K1922" s="8">
        <f t="shared" si="483"/>
        <v>957075.19</v>
      </c>
      <c r="L1922" s="9">
        <f t="shared" si="483"/>
        <v>1588997.5</v>
      </c>
      <c r="M1922" s="9">
        <f aca="true" t="shared" si="484" ref="M1922:R1922">M1623</f>
        <v>1630641.64</v>
      </c>
      <c r="N1922" s="9">
        <f t="shared" si="484"/>
        <v>1530498.51</v>
      </c>
      <c r="O1922" s="9">
        <f t="shared" si="484"/>
        <v>1880011</v>
      </c>
      <c r="P1922" s="9">
        <f t="shared" si="484"/>
        <v>1880011</v>
      </c>
      <c r="Q1922" s="9">
        <f t="shared" si="484"/>
        <v>1753336</v>
      </c>
      <c r="R1922" s="9">
        <f t="shared" si="484"/>
        <v>0</v>
      </c>
    </row>
    <row r="1923" spans="1:18" ht="12.75">
      <c r="A1923" s="85"/>
      <c r="B1923" s="86"/>
      <c r="E1923" s="55" t="s">
        <v>1894</v>
      </c>
      <c r="F1923" s="21">
        <f aca="true" t="shared" si="485" ref="F1923:L1923">SUM(F1921:F1922)</f>
        <v>3427203</v>
      </c>
      <c r="G1923" s="21">
        <f t="shared" si="485"/>
        <v>2732137</v>
      </c>
      <c r="H1923" s="21">
        <f t="shared" si="485"/>
        <v>2515023.7</v>
      </c>
      <c r="I1923" s="22">
        <f t="shared" si="485"/>
        <v>2474608.11</v>
      </c>
      <c r="J1923" s="22">
        <f t="shared" si="485"/>
        <v>2789985.05</v>
      </c>
      <c r="K1923" s="22">
        <f t="shared" si="485"/>
        <v>2810248.19</v>
      </c>
      <c r="L1923" s="7">
        <f t="shared" si="485"/>
        <v>4247167.5</v>
      </c>
      <c r="M1923" s="7">
        <f aca="true" t="shared" si="486" ref="M1923:R1923">SUM(M1921:M1922)</f>
        <v>4574811.64</v>
      </c>
      <c r="N1923" s="7">
        <f t="shared" si="486"/>
        <v>4328668.51</v>
      </c>
      <c r="O1923" s="7">
        <f t="shared" si="486"/>
        <v>5123181</v>
      </c>
      <c r="P1923" s="7">
        <f t="shared" si="486"/>
        <v>5123181</v>
      </c>
      <c r="Q1923" s="7">
        <f t="shared" si="486"/>
        <v>5281506</v>
      </c>
      <c r="R1923" s="7">
        <f t="shared" si="486"/>
        <v>0</v>
      </c>
    </row>
    <row r="1924" spans="1:10" ht="12.75">
      <c r="A1924" s="85"/>
      <c r="B1924" s="86"/>
      <c r="E1924" s="20"/>
      <c r="F1924" s="21"/>
      <c r="G1924" s="21"/>
      <c r="H1924" s="21"/>
      <c r="I1924" s="22"/>
      <c r="J1924" s="22"/>
    </row>
    <row r="1925" spans="1:18" ht="12.75" hidden="1">
      <c r="A1925" s="85"/>
      <c r="B1925" s="86" t="s">
        <v>2160</v>
      </c>
      <c r="C1925" s="36">
        <v>9000</v>
      </c>
      <c r="E1925" s="3" t="s">
        <v>2315</v>
      </c>
      <c r="F1925" s="37">
        <f>F1675</f>
        <v>2673947</v>
      </c>
      <c r="G1925" s="37">
        <f>G1675</f>
        <v>0</v>
      </c>
      <c r="H1925" s="37">
        <f>H1675</f>
        <v>606708</v>
      </c>
      <c r="I1925" s="8">
        <f>I1675</f>
        <v>0</v>
      </c>
      <c r="J1925" s="8">
        <f>J1845</f>
        <v>1467473.24</v>
      </c>
      <c r="K1925" s="8">
        <f>K1675</f>
        <v>0</v>
      </c>
      <c r="L1925" s="9">
        <f>L1675</f>
        <v>0</v>
      </c>
      <c r="M1925" s="9">
        <f>M1675</f>
        <v>0</v>
      </c>
      <c r="N1925" s="9">
        <f>N1845</f>
        <v>0</v>
      </c>
      <c r="O1925" s="9">
        <f>O1845</f>
        <v>0</v>
      </c>
      <c r="P1925" s="9">
        <f>P1845</f>
        <v>0</v>
      </c>
      <c r="Q1925" s="9">
        <f>Q1845</f>
        <v>0</v>
      </c>
      <c r="R1925" s="9">
        <f>R1845</f>
        <v>0</v>
      </c>
    </row>
    <row r="1926" spans="1:18" ht="12.75" hidden="1">
      <c r="A1926" s="85"/>
      <c r="B1926" s="86"/>
      <c r="E1926" s="3" t="str">
        <f>E1846</f>
        <v>CONTINGENCY FOR PY SHORTFALLS</v>
      </c>
      <c r="F1926" s="37"/>
      <c r="G1926" s="37"/>
      <c r="H1926" s="37"/>
      <c r="J1926" s="8"/>
      <c r="L1926" s="9">
        <v>0</v>
      </c>
      <c r="M1926" s="9">
        <v>0</v>
      </c>
      <c r="N1926" s="9">
        <v>0</v>
      </c>
      <c r="O1926" s="9">
        <v>0</v>
      </c>
      <c r="P1926" s="9">
        <v>0</v>
      </c>
      <c r="Q1926" s="9">
        <v>0</v>
      </c>
      <c r="R1926" s="9">
        <v>0</v>
      </c>
    </row>
    <row r="1927" spans="1:18" ht="12.75">
      <c r="A1927" s="85" t="s">
        <v>2161</v>
      </c>
      <c r="B1927" s="86" t="s">
        <v>2162</v>
      </c>
      <c r="E1927" s="3" t="s">
        <v>2163</v>
      </c>
      <c r="F1927" s="37">
        <f>F1816-F1925</f>
        <v>1046629</v>
      </c>
      <c r="G1927" s="37">
        <f>G1816-G1925</f>
        <v>2336260.4599999995</v>
      </c>
      <c r="H1927" s="37">
        <f>H1816-H1925</f>
        <v>3770579.71</v>
      </c>
      <c r="I1927" s="8">
        <f>I1816-I1925</f>
        <v>2582855.389999999</v>
      </c>
      <c r="J1927" s="8">
        <f>J1816-J1925</f>
        <v>2382048.080000001</v>
      </c>
      <c r="K1927" s="8">
        <f aca="true" t="shared" si="487" ref="K1927:R1927">K1816</f>
        <v>1848021.9100000001</v>
      </c>
      <c r="L1927" s="9">
        <f t="shared" si="487"/>
        <v>4272342.930000001</v>
      </c>
      <c r="M1927" s="9">
        <f t="shared" si="487"/>
        <v>4250907.659999999</v>
      </c>
      <c r="N1927" s="9">
        <f t="shared" si="487"/>
        <v>2584622.74</v>
      </c>
      <c r="O1927" s="9">
        <f t="shared" si="487"/>
        <v>2185600</v>
      </c>
      <c r="P1927" s="9">
        <f>P1816</f>
        <v>2185600</v>
      </c>
      <c r="Q1927" s="9">
        <f t="shared" si="487"/>
        <v>2233000</v>
      </c>
      <c r="R1927" s="9">
        <f t="shared" si="487"/>
        <v>0</v>
      </c>
    </row>
    <row r="1928" spans="1:18" ht="12.75">
      <c r="A1928" s="85"/>
      <c r="B1928" s="86"/>
      <c r="E1928" s="55" t="s">
        <v>2027</v>
      </c>
      <c r="F1928" s="21">
        <f aca="true" t="shared" si="488" ref="F1928:L1928">SUM(F1925:F1927)</f>
        <v>3720576</v>
      </c>
      <c r="G1928" s="21">
        <f t="shared" si="488"/>
        <v>2336260.4599999995</v>
      </c>
      <c r="H1928" s="21">
        <f t="shared" si="488"/>
        <v>4377287.71</v>
      </c>
      <c r="I1928" s="22">
        <f t="shared" si="488"/>
        <v>2582855.389999999</v>
      </c>
      <c r="J1928" s="22">
        <f t="shared" si="488"/>
        <v>3849521.320000001</v>
      </c>
      <c r="K1928" s="22">
        <f t="shared" si="488"/>
        <v>1848021.9100000001</v>
      </c>
      <c r="L1928" s="7">
        <f t="shared" si="488"/>
        <v>4272342.930000001</v>
      </c>
      <c r="M1928" s="7">
        <f aca="true" t="shared" si="489" ref="M1928:R1928">SUM(M1925:M1927)</f>
        <v>4250907.659999999</v>
      </c>
      <c r="N1928" s="7">
        <f t="shared" si="489"/>
        <v>2584622.74</v>
      </c>
      <c r="O1928" s="7">
        <f t="shared" si="489"/>
        <v>2185600</v>
      </c>
      <c r="P1928" s="7">
        <f t="shared" si="489"/>
        <v>2185600</v>
      </c>
      <c r="Q1928" s="7">
        <f t="shared" si="489"/>
        <v>2233000</v>
      </c>
      <c r="R1928" s="7">
        <f t="shared" si="489"/>
        <v>0</v>
      </c>
    </row>
    <row r="1929" spans="1:10" ht="12.75">
      <c r="A1929" s="85"/>
      <c r="B1929" s="86"/>
      <c r="E1929" s="20"/>
      <c r="F1929" s="21"/>
      <c r="G1929" s="21"/>
      <c r="H1929" s="21"/>
      <c r="I1929" s="22"/>
      <c r="J1929" s="22"/>
    </row>
    <row r="1930" spans="1:18" ht="12.75">
      <c r="A1930" s="85"/>
      <c r="B1930" s="86"/>
      <c r="E1930" s="63" t="s">
        <v>2164</v>
      </c>
      <c r="F1930" s="91" t="e">
        <f aca="true" t="shared" si="490" ref="F1930:L1930">SUM(F1851:F1928)/2</f>
        <v>#REF!</v>
      </c>
      <c r="G1930" s="91" t="e">
        <f t="shared" si="490"/>
        <v>#REF!</v>
      </c>
      <c r="H1930" s="91" t="e">
        <f t="shared" si="490"/>
        <v>#REF!</v>
      </c>
      <c r="I1930" s="91" t="e">
        <f t="shared" si="490"/>
        <v>#REF!</v>
      </c>
      <c r="J1930" s="57" t="e">
        <f t="shared" si="490"/>
        <v>#REF!</v>
      </c>
      <c r="K1930" s="57" t="e">
        <f t="shared" si="490"/>
        <v>#REF!</v>
      </c>
      <c r="L1930" s="32">
        <f t="shared" si="490"/>
        <v>63289183.143666685</v>
      </c>
      <c r="M1930" s="32">
        <f>SUM(M1851:M1928)/2</f>
        <v>66266619.15999998</v>
      </c>
      <c r="N1930" s="32">
        <f>SUM(N1928+N1923+N1919+N1912+N1904+N1887+N1881+N1868)</f>
        <v>66589121.58</v>
      </c>
      <c r="O1930" s="181">
        <f>SUM(O1928+O1923+O1919+O1912+O1904+O1887+O1881+O1868)</f>
        <v>71338512.64</v>
      </c>
      <c r="P1930" s="181">
        <f>SUM(P1928+P1923+P1919+P1912+P1904+P1887+P1881+P1868)</f>
        <v>70756050</v>
      </c>
      <c r="Q1930" s="181">
        <f>SUM(Q1928+Q1923+Q1919+Q1912+Q1904+Q1887+Q1881+Q1868)</f>
        <v>76773113</v>
      </c>
      <c r="R1930" s="181">
        <f>SUM(R1928+R1923+R1919+R1912+R1904+R1887+R1881+R1868)</f>
        <v>4385385</v>
      </c>
    </row>
    <row r="1931" spans="1:10" ht="12.75">
      <c r="A1931" s="85"/>
      <c r="B1931" s="86"/>
      <c r="F1931" s="37"/>
      <c r="G1931" s="37"/>
      <c r="H1931" s="37"/>
      <c r="J1931" s="8"/>
    </row>
    <row r="1932" spans="1:18" ht="12.75">
      <c r="A1932" s="85"/>
      <c r="B1932" s="86" t="s">
        <v>2161</v>
      </c>
      <c r="E1932" s="3" t="s">
        <v>2165</v>
      </c>
      <c r="F1932" s="37">
        <f>F1821</f>
        <v>727471</v>
      </c>
      <c r="G1932" s="37">
        <v>724357.22</v>
      </c>
      <c r="H1932" s="37">
        <v>707333.83</v>
      </c>
      <c r="I1932" s="8">
        <v>701102.12</v>
      </c>
      <c r="J1932" s="8">
        <f>J1821</f>
        <v>693001</v>
      </c>
      <c r="K1932" s="8">
        <v>878440</v>
      </c>
      <c r="L1932" s="8">
        <v>788617</v>
      </c>
      <c r="M1932" s="8">
        <f>763742+15881</f>
        <v>779623</v>
      </c>
      <c r="N1932" s="8">
        <f>N1821</f>
        <v>0</v>
      </c>
      <c r="O1932" s="8">
        <f>O1821</f>
        <v>974000</v>
      </c>
      <c r="P1932" s="8">
        <v>974000</v>
      </c>
      <c r="Q1932" s="8">
        <f>Q1821</f>
        <v>850000</v>
      </c>
      <c r="R1932" s="8">
        <f>R1821</f>
        <v>0</v>
      </c>
    </row>
    <row r="1933" spans="1:18" ht="12.75">
      <c r="A1933" s="85"/>
      <c r="E1933" s="55" t="s">
        <v>2031</v>
      </c>
      <c r="F1933" s="21">
        <f aca="true" t="shared" si="491" ref="F1933:L1933">F1932</f>
        <v>727471</v>
      </c>
      <c r="G1933" s="21">
        <f t="shared" si="491"/>
        <v>724357.22</v>
      </c>
      <c r="H1933" s="21">
        <f t="shared" si="491"/>
        <v>707333.83</v>
      </c>
      <c r="I1933" s="22">
        <f t="shared" si="491"/>
        <v>701102.12</v>
      </c>
      <c r="J1933" s="22">
        <f t="shared" si="491"/>
        <v>693001</v>
      </c>
      <c r="K1933" s="22">
        <f t="shared" si="491"/>
        <v>878440</v>
      </c>
      <c r="L1933" s="7">
        <f t="shared" si="491"/>
        <v>788617</v>
      </c>
      <c r="M1933" s="7">
        <f aca="true" t="shared" si="492" ref="M1933:R1933">M1932</f>
        <v>779623</v>
      </c>
      <c r="N1933" s="7">
        <f t="shared" si="492"/>
        <v>0</v>
      </c>
      <c r="O1933" s="7">
        <f t="shared" si="492"/>
        <v>974000</v>
      </c>
      <c r="P1933" s="7">
        <f t="shared" si="492"/>
        <v>974000</v>
      </c>
      <c r="Q1933" s="7">
        <f t="shared" si="492"/>
        <v>850000</v>
      </c>
      <c r="R1933" s="7">
        <f t="shared" si="492"/>
        <v>0</v>
      </c>
    </row>
    <row r="1934" spans="1:10" ht="12.75">
      <c r="A1934" s="85"/>
      <c r="E1934" s="38"/>
      <c r="F1934" s="56"/>
      <c r="G1934" s="56"/>
      <c r="H1934" s="56"/>
      <c r="I1934" s="57"/>
      <c r="J1934" s="57"/>
    </row>
    <row r="1935" spans="1:18" ht="12.75">
      <c r="A1935" s="92"/>
      <c r="B1935" s="93"/>
      <c r="C1935" s="201"/>
      <c r="D1935" s="201"/>
      <c r="E1935" s="12" t="s">
        <v>2166</v>
      </c>
      <c r="F1935" s="94" t="e">
        <f aca="true" t="shared" si="493" ref="F1935:L1935">F1930+F1933</f>
        <v>#REF!</v>
      </c>
      <c r="G1935" s="94" t="e">
        <f t="shared" si="493"/>
        <v>#REF!</v>
      </c>
      <c r="H1935" s="94" t="e">
        <f t="shared" si="493"/>
        <v>#REF!</v>
      </c>
      <c r="I1935" s="91" t="e">
        <f t="shared" si="493"/>
        <v>#REF!</v>
      </c>
      <c r="J1935" s="57" t="e">
        <f t="shared" si="493"/>
        <v>#REF!</v>
      </c>
      <c r="K1935" s="57" t="e">
        <f t="shared" si="493"/>
        <v>#REF!</v>
      </c>
      <c r="L1935" s="32">
        <f t="shared" si="493"/>
        <v>64077800.143666685</v>
      </c>
      <c r="M1935" s="32">
        <f aca="true" t="shared" si="494" ref="M1935:R1935">M1930+M1933</f>
        <v>67046242.15999998</v>
      </c>
      <c r="N1935" s="32">
        <f t="shared" si="494"/>
        <v>66589121.58</v>
      </c>
      <c r="O1935" s="32">
        <f t="shared" si="494"/>
        <v>72312512.64</v>
      </c>
      <c r="P1935" s="32">
        <f t="shared" si="494"/>
        <v>71730050</v>
      </c>
      <c r="Q1935" s="32">
        <f t="shared" si="494"/>
        <v>77623113</v>
      </c>
      <c r="R1935" s="32">
        <f t="shared" si="494"/>
        <v>4385385</v>
      </c>
    </row>
    <row r="1936" spans="1:10" ht="12.75">
      <c r="A1936" s="85"/>
      <c r="F1936" s="37"/>
      <c r="G1936" s="37"/>
      <c r="H1936" s="37"/>
      <c r="J1936" s="8"/>
    </row>
    <row r="1937" spans="1:18" ht="12.75">
      <c r="A1937" s="85" t="s">
        <v>2167</v>
      </c>
      <c r="B1937" s="11" t="s">
        <v>2167</v>
      </c>
      <c r="C1937" s="36">
        <v>8000</v>
      </c>
      <c r="E1937" s="3" t="s">
        <v>2168</v>
      </c>
      <c r="F1937" s="37">
        <f aca="true" t="shared" si="495" ref="F1937:L1937">F1843</f>
        <v>1650841</v>
      </c>
      <c r="G1937" s="37">
        <f t="shared" si="495"/>
        <v>1590930</v>
      </c>
      <c r="H1937" s="37">
        <f t="shared" si="495"/>
        <v>1530696</v>
      </c>
      <c r="I1937" s="8">
        <f t="shared" si="495"/>
        <v>1490904</v>
      </c>
      <c r="J1937" s="8">
        <f t="shared" si="495"/>
        <v>1471794</v>
      </c>
      <c r="K1937" s="8">
        <f t="shared" si="495"/>
        <v>1465803</v>
      </c>
      <c r="L1937" s="8">
        <f t="shared" si="495"/>
        <v>1468561</v>
      </c>
      <c r="M1937" s="8">
        <f aca="true" t="shared" si="496" ref="M1937:R1937">M1843</f>
        <v>1439559</v>
      </c>
      <c r="N1937" s="8">
        <f t="shared" si="496"/>
        <v>1426649</v>
      </c>
      <c r="O1937" s="8">
        <f t="shared" si="496"/>
        <v>1485162</v>
      </c>
      <c r="P1937" s="8">
        <f t="shared" si="496"/>
        <v>1485162</v>
      </c>
      <c r="Q1937" s="8">
        <f t="shared" si="496"/>
        <v>1553808</v>
      </c>
      <c r="R1937" s="8">
        <f t="shared" si="496"/>
        <v>0</v>
      </c>
    </row>
    <row r="1938" spans="1:18" ht="12.75">
      <c r="A1938" s="85"/>
      <c r="E1938" s="55" t="s">
        <v>2070</v>
      </c>
      <c r="F1938" s="21">
        <f aca="true" t="shared" si="497" ref="F1938:L1938">SUM(F1937:F1937)</f>
        <v>1650841</v>
      </c>
      <c r="G1938" s="21">
        <f t="shared" si="497"/>
        <v>1590930</v>
      </c>
      <c r="H1938" s="21">
        <f t="shared" si="497"/>
        <v>1530696</v>
      </c>
      <c r="I1938" s="22">
        <f t="shared" si="497"/>
        <v>1490904</v>
      </c>
      <c r="J1938" s="22">
        <f t="shared" si="497"/>
        <v>1471794</v>
      </c>
      <c r="K1938" s="22">
        <f t="shared" si="497"/>
        <v>1465803</v>
      </c>
      <c r="L1938" s="7">
        <f t="shared" si="497"/>
        <v>1468561</v>
      </c>
      <c r="M1938" s="7">
        <f aca="true" t="shared" si="498" ref="M1938:R1938">SUM(M1937:M1937)</f>
        <v>1439559</v>
      </c>
      <c r="N1938" s="7">
        <f t="shared" si="498"/>
        <v>1426649</v>
      </c>
      <c r="O1938" s="7">
        <f t="shared" si="498"/>
        <v>1485162</v>
      </c>
      <c r="P1938" s="7">
        <f t="shared" si="498"/>
        <v>1485162</v>
      </c>
      <c r="Q1938" s="7">
        <f t="shared" si="498"/>
        <v>1553808</v>
      </c>
      <c r="R1938" s="7">
        <f t="shared" si="498"/>
        <v>0</v>
      </c>
    </row>
    <row r="1939" spans="2:19" s="95" customFormat="1" ht="24.75" customHeight="1">
      <c r="B1939" s="96"/>
      <c r="C1939" s="202"/>
      <c r="D1939" s="202"/>
      <c r="E1939" s="97" t="s">
        <v>2169</v>
      </c>
      <c r="F1939" s="98" t="e">
        <f aca="true" t="shared" si="499" ref="F1939:L1939">F1935+F1938</f>
        <v>#REF!</v>
      </c>
      <c r="G1939" s="98" t="e">
        <f t="shared" si="499"/>
        <v>#REF!</v>
      </c>
      <c r="H1939" s="98" t="e">
        <f t="shared" si="499"/>
        <v>#REF!</v>
      </c>
      <c r="I1939" s="99" t="e">
        <f t="shared" si="499"/>
        <v>#REF!</v>
      </c>
      <c r="J1939" s="99" t="e">
        <f t="shared" si="499"/>
        <v>#REF!</v>
      </c>
      <c r="K1939" s="99" t="e">
        <f t="shared" si="499"/>
        <v>#REF!</v>
      </c>
      <c r="L1939" s="100">
        <f t="shared" si="499"/>
        <v>65546361.143666685</v>
      </c>
      <c r="M1939" s="100">
        <f aca="true" t="shared" si="500" ref="M1939:R1939">M1935+M1938</f>
        <v>68485801.15999998</v>
      </c>
      <c r="N1939" s="100">
        <f t="shared" si="500"/>
        <v>68015770.58</v>
      </c>
      <c r="O1939" s="100">
        <f t="shared" si="500"/>
        <v>73797674.64</v>
      </c>
      <c r="P1939" s="100">
        <f t="shared" si="500"/>
        <v>73215212</v>
      </c>
      <c r="Q1939" s="100">
        <f t="shared" si="500"/>
        <v>79176921</v>
      </c>
      <c r="R1939" s="100">
        <f t="shared" si="500"/>
        <v>4385385</v>
      </c>
      <c r="S1939" s="216"/>
    </row>
  </sheetData>
  <sheetProtection/>
  <printOptions/>
  <pageMargins left="0.25" right="0.25" top="1" bottom="0.82" header="0.5" footer="0.25"/>
  <pageSetup fitToHeight="168" horizontalDpi="600" verticalDpi="600" orientation="landscape" scale="98" r:id="rId1"/>
  <headerFooter alignWithMargins="0">
    <oddHeader>&amp;C&amp;"Arial,Bold"&amp;11TOWN OF BELMONT EXPENDITURES
FY2008 REQUESTED BUDGETS</oddHeader>
    <oddFooter>&amp;LGeneral Fund Appropriations&amp;C&amp;P of &amp;N&amp;R&amp;D</oddFooter>
  </headerFooter>
  <rowBreaks count="51" manualBreakCount="51">
    <brk id="52" min="1" max="15" man="1"/>
    <brk id="87" min="1" max="15" man="1"/>
    <brk id="125" min="1" max="16" man="1"/>
    <brk id="186" min="1" max="16" man="1"/>
    <brk id="194" min="1" max="15" man="1"/>
    <brk id="222" min="1" max="15" man="1"/>
    <brk id="260" min="1" max="15" man="1"/>
    <brk id="299" min="1" max="15" man="1"/>
    <brk id="327" min="1" max="15" man="1"/>
    <brk id="364" min="1" max="15" man="1"/>
    <brk id="387" min="1" max="15" man="1"/>
    <brk id="430" min="1" max="15" man="1"/>
    <brk id="472" min="1" max="15" man="1"/>
    <brk id="511" min="1" max="15" man="1"/>
    <brk id="528" min="1" max="15" man="1"/>
    <brk id="576" min="1" max="15" man="1"/>
    <brk id="611" min="1" max="15" man="1"/>
    <brk id="640" min="1" max="15" man="1"/>
    <brk id="673" min="1" max="15" man="1"/>
    <brk id="709" min="1" max="15" man="1"/>
    <brk id="752" min="1" max="15" man="1"/>
    <brk id="783" min="1" max="15" man="1"/>
    <brk id="807" min="1" max="15" man="1"/>
    <brk id="837" min="1" max="15" man="1"/>
    <brk id="873" min="1" max="15" man="1"/>
    <brk id="901" min="1" max="15" man="1"/>
    <brk id="931" min="1" max="15" man="1"/>
    <brk id="965" min="1" max="15" man="1"/>
    <brk id="1000" min="1" max="15" man="1"/>
    <brk id="1038" min="1" max="15" man="1"/>
    <brk id="1072" min="1" max="16" man="1"/>
    <brk id="1110" min="1" max="16" man="1"/>
    <brk id="1139" min="1" max="16" man="1"/>
    <brk id="1176" min="1" max="15" man="1"/>
    <brk id="1219" min="1" max="15" man="1"/>
    <brk id="1277" min="1" max="15" man="1"/>
    <brk id="1315" min="1" max="15" man="1"/>
    <brk id="1341" min="1" max="15" man="1"/>
    <brk id="1378" min="1" max="15" man="1"/>
    <brk id="1412" min="1" max="15" man="1"/>
    <brk id="1434" min="1" max="15" man="1"/>
    <brk id="1469" min="1" max="15" man="1"/>
    <brk id="1488" min="1" max="16" man="1"/>
    <brk id="1511" min="1" max="15" man="1"/>
    <brk id="1535" min="1" max="15" man="1"/>
    <brk id="1576" min="1" max="15" man="1"/>
    <brk id="1618" min="1" max="16" man="1"/>
    <brk id="1625" min="1" max="15" man="1"/>
    <brk id="1848" min="1" max="15" man="1"/>
    <brk id="1887" min="1" max="15" man="1"/>
    <brk id="1923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view="pageBreakPreview" zoomScale="60" workbookViewId="0" topLeftCell="A1">
      <selection activeCell="N27" sqref="N27"/>
    </sheetView>
  </sheetViews>
  <sheetFormatPr defaultColWidth="9.140625" defaultRowHeight="12.75"/>
  <cols>
    <col min="1" max="1" width="32.140625" style="0" customWidth="1"/>
    <col min="2" max="6" width="0" style="0" hidden="1" customWidth="1"/>
    <col min="7" max="7" width="11.140625" style="0" hidden="1" customWidth="1"/>
    <col min="8" max="8" width="15.140625" style="0" bestFit="1" customWidth="1"/>
    <col min="9" max="9" width="14.8515625" style="0" bestFit="1" customWidth="1"/>
    <col min="10" max="12" width="0" style="0" hidden="1" customWidth="1"/>
    <col min="13" max="13" width="14.7109375" style="0" bestFit="1" customWidth="1"/>
    <col min="14" max="14" width="14.8515625" style="0" bestFit="1" customWidth="1"/>
    <col min="15" max="15" width="15.7109375" style="0" customWidth="1"/>
    <col min="16" max="16" width="15.28125" style="0" customWidth="1"/>
  </cols>
  <sheetData>
    <row r="2" spans="1:16" s="3" customFormat="1" ht="15">
      <c r="A2" s="2" t="s">
        <v>2180</v>
      </c>
      <c r="B2" s="17" t="s">
        <v>2170</v>
      </c>
      <c r="C2" s="17" t="s">
        <v>2172</v>
      </c>
      <c r="D2" s="17" t="s">
        <v>2173</v>
      </c>
      <c r="E2" s="13" t="s">
        <v>2174</v>
      </c>
      <c r="F2" s="1" t="s">
        <v>2175</v>
      </c>
      <c r="G2" s="18" t="s">
        <v>725</v>
      </c>
      <c r="H2" s="14" t="s">
        <v>1420</v>
      </c>
      <c r="I2" s="14" t="s">
        <v>1421</v>
      </c>
      <c r="J2" s="14" t="s">
        <v>1419</v>
      </c>
      <c r="K2" s="14" t="s">
        <v>1419</v>
      </c>
      <c r="L2" s="14" t="s">
        <v>403</v>
      </c>
      <c r="M2" s="14" t="s">
        <v>808</v>
      </c>
      <c r="N2" s="157" t="s">
        <v>1070</v>
      </c>
      <c r="O2" s="14" t="s">
        <v>3163</v>
      </c>
      <c r="P2" s="14" t="s">
        <v>1308</v>
      </c>
    </row>
    <row r="3" spans="1:16" s="47" customFormat="1" ht="15">
      <c r="A3" s="151" t="s">
        <v>2178</v>
      </c>
      <c r="B3" s="152" t="s">
        <v>2179</v>
      </c>
      <c r="C3" s="152" t="s">
        <v>2179</v>
      </c>
      <c r="D3" s="152" t="s">
        <v>2179</v>
      </c>
      <c r="E3" s="153" t="s">
        <v>2179</v>
      </c>
      <c r="F3" s="154" t="s">
        <v>2179</v>
      </c>
      <c r="G3" s="156" t="s">
        <v>2179</v>
      </c>
      <c r="H3" s="155" t="s">
        <v>2179</v>
      </c>
      <c r="I3" s="155" t="s">
        <v>1422</v>
      </c>
      <c r="J3" s="155" t="s">
        <v>1423</v>
      </c>
      <c r="K3" s="155" t="s">
        <v>884</v>
      </c>
      <c r="L3" s="155" t="s">
        <v>2011</v>
      </c>
      <c r="M3" s="155" t="s">
        <v>1422</v>
      </c>
      <c r="N3" s="155" t="s">
        <v>1452</v>
      </c>
      <c r="O3" s="168" t="s">
        <v>3164</v>
      </c>
      <c r="P3" s="168" t="s">
        <v>1306</v>
      </c>
    </row>
    <row r="6" ht="12.75">
      <c r="A6" s="149" t="s">
        <v>1428</v>
      </c>
    </row>
    <row r="7" spans="1:16" ht="12.75">
      <c r="A7" s="142" t="str">
        <f>'Water Ent'!C118</f>
        <v>WATER ADMINISTRATION</v>
      </c>
      <c r="B7" s="142">
        <f>'Water Ent'!D118</f>
        <v>267786.5</v>
      </c>
      <c r="C7" s="142">
        <f>'Water Ent'!E118</f>
        <v>257600.62000000002</v>
      </c>
      <c r="D7" s="142">
        <f>'Water Ent'!F118</f>
        <v>249223.24000000005</v>
      </c>
      <c r="E7" s="142">
        <f>'Water Ent'!G118</f>
        <v>208510.36000000002</v>
      </c>
      <c r="F7" s="142">
        <f>'Water Ent'!H118</f>
        <v>313649.785</v>
      </c>
      <c r="G7" s="144">
        <f>'Water Ent'!I118</f>
        <v>296344.05</v>
      </c>
      <c r="H7" s="32">
        <f>'Water Ent'!J55</f>
        <v>334380.98</v>
      </c>
      <c r="I7" s="32">
        <f>'Water Ent'!K55</f>
        <v>357217.33999999997</v>
      </c>
      <c r="J7" s="32">
        <f>'Water Ent'!L55</f>
        <v>449614</v>
      </c>
      <c r="K7" s="32">
        <f>'Water Ent'!M55</f>
        <v>513990</v>
      </c>
      <c r="L7" s="144" t="e">
        <f>'Water Ent'!#REF!</f>
        <v>#REF!</v>
      </c>
      <c r="M7" s="144">
        <f>'Water Ent'!L55</f>
        <v>449614</v>
      </c>
      <c r="N7" s="144">
        <f>'Water Ent'!M55</f>
        <v>513990</v>
      </c>
      <c r="O7" s="144">
        <f>'Water Ent'!N55</f>
        <v>482380</v>
      </c>
      <c r="P7" s="144">
        <f>'Water Ent'!O55</f>
        <v>517454</v>
      </c>
    </row>
    <row r="8" spans="1:16" ht="12.75">
      <c r="A8" s="142" t="str">
        <f>'Water Ent'!C119</f>
        <v>MWRA WATER ASSESSMENT</v>
      </c>
      <c r="B8" s="142" t="e">
        <f>'Water Ent'!D119</f>
        <v>#REF!</v>
      </c>
      <c r="C8" s="142" t="e">
        <f>'Water Ent'!E119</f>
        <v>#REF!</v>
      </c>
      <c r="D8" s="142" t="e">
        <f>'Water Ent'!F119</f>
        <v>#REF!</v>
      </c>
      <c r="E8" s="142" t="e">
        <f>'Water Ent'!G119</f>
        <v>#REF!</v>
      </c>
      <c r="F8" s="142" t="e">
        <f>'Water Ent'!H119</f>
        <v>#REF!</v>
      </c>
      <c r="G8" s="144" t="e">
        <f>'Water Ent'!I119</f>
        <v>#REF!</v>
      </c>
      <c r="H8" s="144">
        <f>'Water Ent'!J119</f>
        <v>1395114.34</v>
      </c>
      <c r="I8" s="144">
        <f>'Water Ent'!K119</f>
        <v>1466774</v>
      </c>
      <c r="J8" s="144" t="e">
        <f>'Water Ent'!#REF!</f>
        <v>#REF!</v>
      </c>
      <c r="K8" s="144" t="e">
        <f>'Water Ent'!#REF!</f>
        <v>#REF!</v>
      </c>
      <c r="L8" s="144" t="e">
        <f>'Water Ent'!#REF!</f>
        <v>#REF!</v>
      </c>
      <c r="M8" s="144">
        <f>'Water Ent'!L119</f>
        <v>1727410</v>
      </c>
      <c r="N8" s="144">
        <f>'Water Ent'!M119</f>
        <v>1876847</v>
      </c>
      <c r="O8" s="144">
        <f>'Water Ent'!N119</f>
        <v>1876847</v>
      </c>
      <c r="P8" s="144">
        <f>'Water Ent'!O119</f>
        <v>2049573</v>
      </c>
    </row>
    <row r="9" spans="1:16" ht="12.75">
      <c r="A9" s="142" t="str">
        <f>'Water Ent'!C120</f>
        <v>WATER DISTR/MAINT</v>
      </c>
      <c r="B9" s="142">
        <f>'Water Ent'!D120</f>
        <v>1612350.5</v>
      </c>
      <c r="C9" s="142">
        <f>'Water Ent'!E120</f>
        <v>2166269.8200000003</v>
      </c>
      <c r="D9" s="142">
        <f>'Water Ent'!F120</f>
        <v>2282488.365</v>
      </c>
      <c r="E9" s="142">
        <f>'Water Ent'!G120</f>
        <v>1950672.5299999996</v>
      </c>
      <c r="F9" s="142">
        <f>'Water Ent'!H120</f>
        <v>2677750.6999999997</v>
      </c>
      <c r="G9" s="144">
        <f>'Water Ent'!I120</f>
        <v>2372027.9499999997</v>
      </c>
      <c r="H9" s="144">
        <f>'Water Ent'!J120</f>
        <v>1512809.7699999998</v>
      </c>
      <c r="I9" s="144">
        <f>'Water Ent'!K120</f>
        <v>2088658.19</v>
      </c>
      <c r="J9" s="144" t="e">
        <f>'Water Ent'!#REF!</f>
        <v>#REF!</v>
      </c>
      <c r="K9" s="144" t="e">
        <f>'Water Ent'!#REF!</f>
        <v>#REF!</v>
      </c>
      <c r="L9" s="144" t="e">
        <f>'Water Ent'!#REF!</f>
        <v>#REF!</v>
      </c>
      <c r="M9" s="144">
        <f>'Water Ent'!L120</f>
        <v>2180195</v>
      </c>
      <c r="N9" s="144">
        <f>'Water Ent'!M120</f>
        <v>2137871</v>
      </c>
      <c r="O9" s="144">
        <f>'Water Ent'!N120</f>
        <v>2129371</v>
      </c>
      <c r="P9" s="144">
        <f>'Water Ent'!O120</f>
        <v>1588242</v>
      </c>
    </row>
    <row r="10" spans="1:16" ht="12.75">
      <c r="A10" s="142"/>
      <c r="B10" s="142"/>
      <c r="C10" s="142"/>
      <c r="D10" s="142"/>
      <c r="E10" s="142"/>
      <c r="F10" s="142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2.75">
      <c r="A11" s="143" t="str">
        <f>'Water Ent'!C121</f>
        <v>TOTAL WATER ENTERPRISE</v>
      </c>
      <c r="B11" s="142" t="e">
        <f>'Water Ent'!D121</f>
        <v>#REF!</v>
      </c>
      <c r="C11" s="142" t="e">
        <f>'Water Ent'!E121</f>
        <v>#REF!</v>
      </c>
      <c r="D11" s="142" t="e">
        <f>'Water Ent'!F121</f>
        <v>#REF!</v>
      </c>
      <c r="E11" s="142" t="e">
        <f>'Water Ent'!G121</f>
        <v>#REF!</v>
      </c>
      <c r="F11" s="142" t="e">
        <f>'Water Ent'!H121</f>
        <v>#REF!</v>
      </c>
      <c r="G11" s="145" t="e">
        <f>'Water Ent'!I121</f>
        <v>#REF!</v>
      </c>
      <c r="H11" s="145">
        <f>'Water Ent'!J55</f>
        <v>334380.98</v>
      </c>
      <c r="I11" s="145">
        <f>'Water Ent'!K55</f>
        <v>357217.33999999997</v>
      </c>
      <c r="J11" s="145">
        <f>'Water Ent'!L55</f>
        <v>449614</v>
      </c>
      <c r="K11" s="145">
        <f>'Water Ent'!M55</f>
        <v>513990</v>
      </c>
      <c r="L11" s="145" t="e">
        <f>'Water Ent'!#REF!</f>
        <v>#REF!</v>
      </c>
      <c r="M11" s="145">
        <f>SUM(M7:M9)</f>
        <v>4357219</v>
      </c>
      <c r="N11" s="145">
        <f>SUM(N7:N9)</f>
        <v>4528708</v>
      </c>
      <c r="O11" s="145">
        <f>SUM(O7:O9)</f>
        <v>4488598</v>
      </c>
      <c r="P11" s="145">
        <f>SUM(P7:P9)</f>
        <v>4155269</v>
      </c>
    </row>
    <row r="12" spans="1:13" ht="12.75">
      <c r="A12" t="s">
        <v>2819</v>
      </c>
      <c r="G12" s="144"/>
      <c r="H12" s="144"/>
      <c r="I12" s="144"/>
      <c r="J12" s="144"/>
      <c r="K12" s="144"/>
      <c r="L12" s="144"/>
      <c r="M12" s="144"/>
    </row>
    <row r="13" spans="7:13" ht="12.75">
      <c r="G13" s="144"/>
      <c r="H13" s="144"/>
      <c r="I13" s="144"/>
      <c r="J13" s="144"/>
      <c r="K13" s="144"/>
      <c r="L13" s="144"/>
      <c r="M13" s="144"/>
    </row>
    <row r="14" spans="7:13" ht="12.75">
      <c r="G14" s="144"/>
      <c r="H14" s="144"/>
      <c r="I14" s="144"/>
      <c r="J14" s="144"/>
      <c r="K14" s="144"/>
      <c r="L14" s="144"/>
      <c r="M14" s="144"/>
    </row>
    <row r="15" spans="1:13" ht="12.75">
      <c r="A15" s="149" t="s">
        <v>1429</v>
      </c>
      <c r="G15" s="144"/>
      <c r="H15" s="144"/>
      <c r="I15" s="144"/>
      <c r="J15" s="144"/>
      <c r="K15" s="144"/>
      <c r="L15" s="144"/>
      <c r="M15" s="144"/>
    </row>
    <row r="16" spans="1:16" ht="12.75">
      <c r="A16" s="141" t="str">
        <f>'Sewer Ent'!C75</f>
        <v>SANITARY SEWER MAINTENANCE</v>
      </c>
      <c r="B16" s="141" t="e">
        <f>'Sewer Ent'!D75</f>
        <v>#REF!</v>
      </c>
      <c r="C16" s="141" t="e">
        <f>'Sewer Ent'!E75</f>
        <v>#REF!</v>
      </c>
      <c r="D16" s="141" t="e">
        <f>'Sewer Ent'!F75</f>
        <v>#REF!</v>
      </c>
      <c r="E16" s="141" t="e">
        <f>'Sewer Ent'!G75</f>
        <v>#REF!</v>
      </c>
      <c r="F16" s="141" t="e">
        <f>'Sewer Ent'!H75</f>
        <v>#REF!</v>
      </c>
      <c r="G16" s="144">
        <f>'Sewer Ent'!I75</f>
        <v>2714471.505</v>
      </c>
      <c r="H16" s="126">
        <f>'Sewer Ent'!J75</f>
        <v>1120420.3299999996</v>
      </c>
      <c r="I16" s="144">
        <f>'Sewer Ent'!K75</f>
        <v>2331325.7799999993</v>
      </c>
      <c r="J16" s="144" t="e">
        <f>'Sewer Ent'!#REF!</f>
        <v>#REF!</v>
      </c>
      <c r="K16" s="144" t="e">
        <f>'Sewer Ent'!#REF!</f>
        <v>#REF!</v>
      </c>
      <c r="L16" s="144" t="e">
        <f>'Sewer Ent'!#REF!</f>
        <v>#REF!</v>
      </c>
      <c r="M16" s="144">
        <f>'Sewer Ent'!L75</f>
        <v>1298808</v>
      </c>
      <c r="N16" s="126">
        <f>'Sewer Ent'!M75</f>
        <v>1352236</v>
      </c>
      <c r="O16" s="126">
        <f>'Sewer Ent'!N75</f>
        <v>1347777</v>
      </c>
      <c r="P16" s="126">
        <f>'Sewer Ent'!O75</f>
        <v>1663579</v>
      </c>
    </row>
    <row r="17" spans="1:16" ht="12.75">
      <c r="A17" s="141" t="str">
        <f>'Sewer Ent'!C76</f>
        <v>MWRA SEWER ASSESSMENT</v>
      </c>
      <c r="B17" s="141" t="e">
        <f>'Sewer Ent'!D76</f>
        <v>#REF!</v>
      </c>
      <c r="C17" s="141" t="e">
        <f>'Sewer Ent'!E76</f>
        <v>#REF!</v>
      </c>
      <c r="D17" s="141" t="e">
        <f>'Sewer Ent'!F76</f>
        <v>#REF!</v>
      </c>
      <c r="E17" s="141" t="e">
        <f>'Sewer Ent'!G76</f>
        <v>#REF!</v>
      </c>
      <c r="F17" s="141" t="e">
        <f>'Sewer Ent'!H76</f>
        <v>#REF!</v>
      </c>
      <c r="G17" s="144" t="e">
        <f>'Sewer Ent'!I76</f>
        <v>#REF!</v>
      </c>
      <c r="H17" s="126">
        <f>'Sewer Ent'!J76</f>
        <v>3530481.4</v>
      </c>
      <c r="I17" s="144">
        <f>'Sewer Ent'!K76</f>
        <v>3463332.91</v>
      </c>
      <c r="J17" s="144" t="e">
        <f>'Sewer Ent'!#REF!</f>
        <v>#REF!</v>
      </c>
      <c r="K17" s="144" t="e">
        <f>'Sewer Ent'!#REF!</f>
        <v>#REF!</v>
      </c>
      <c r="L17" s="144" t="e">
        <f>'Sewer Ent'!#REF!</f>
        <v>#REF!</v>
      </c>
      <c r="M17" s="144">
        <f>'Sewer Ent'!L76</f>
        <v>3556210</v>
      </c>
      <c r="N17" s="126">
        <f>'Sewer Ent'!M76</f>
        <v>3909193</v>
      </c>
      <c r="O17" s="126">
        <f>'Sewer Ent'!N76</f>
        <v>3705621</v>
      </c>
      <c r="P17" s="126">
        <f>'Sewer Ent'!O76</f>
        <v>4065070</v>
      </c>
    </row>
    <row r="18" spans="1:16" ht="12.75">
      <c r="A18" s="146" t="str">
        <f>'Sewer Ent'!C77</f>
        <v>INDIRECT COST REIMBURSEMENT</v>
      </c>
      <c r="B18" s="146">
        <f>'Sewer Ent'!D77</f>
        <v>0</v>
      </c>
      <c r="C18" s="146">
        <f>'Sewer Ent'!E77</f>
        <v>0</v>
      </c>
      <c r="D18" s="146">
        <f>'Sewer Ent'!F77</f>
        <v>0</v>
      </c>
      <c r="E18" s="146">
        <f>'Sewer Ent'!G77</f>
        <v>0</v>
      </c>
      <c r="F18" s="146">
        <f>'Sewer Ent'!H77</f>
        <v>0</v>
      </c>
      <c r="G18" s="144" t="e">
        <f>'Sewer Ent'!I77</f>
        <v>#REF!</v>
      </c>
      <c r="H18" s="126">
        <f>'Sewer Ent'!J77</f>
        <v>0</v>
      </c>
      <c r="I18" s="144">
        <f>'Sewer Ent'!K77</f>
        <v>100000</v>
      </c>
      <c r="J18" s="144" t="e">
        <f>'Sewer Ent'!#REF!</f>
        <v>#REF!</v>
      </c>
      <c r="K18" s="144" t="e">
        <f>'Sewer Ent'!#REF!</f>
        <v>#REF!</v>
      </c>
      <c r="L18" s="144" t="e">
        <f>'Sewer Ent'!#REF!</f>
        <v>#REF!</v>
      </c>
      <c r="M18" s="144">
        <f>'Sewer Ent'!L77</f>
        <v>100000</v>
      </c>
      <c r="N18" s="126">
        <f>'Sewer Ent'!M77</f>
        <v>120000</v>
      </c>
      <c r="O18" s="126">
        <f>'Sewer Ent'!N77</f>
        <v>120000</v>
      </c>
      <c r="P18" s="126">
        <f>'Sewer Ent'!O77</f>
        <v>120000</v>
      </c>
    </row>
    <row r="19" spans="1:16" ht="12.75">
      <c r="A19" s="141" t="str">
        <f>'Sewer Ent'!C78</f>
        <v>STORMWATER MAINT </v>
      </c>
      <c r="B19" s="141" t="e">
        <f>'Sewer Ent'!D78</f>
        <v>#REF!</v>
      </c>
      <c r="C19" s="141" t="e">
        <f>'Sewer Ent'!E78</f>
        <v>#REF!</v>
      </c>
      <c r="D19" s="141" t="e">
        <f>'Sewer Ent'!F78</f>
        <v>#REF!</v>
      </c>
      <c r="E19" s="141" t="e">
        <f>'Sewer Ent'!G78</f>
        <v>#REF!</v>
      </c>
      <c r="F19" s="141" t="e">
        <f>'Sewer Ent'!H78</f>
        <v>#REF!</v>
      </c>
      <c r="G19" s="144" t="e">
        <f>'Sewer Ent'!I78</f>
        <v>#REF!</v>
      </c>
      <c r="H19" s="126">
        <f>'Sewer Ent'!J78</f>
        <v>216431.38</v>
      </c>
      <c r="I19" s="144">
        <f>'Sewer Ent'!K78</f>
        <v>209188.53999999998</v>
      </c>
      <c r="J19" s="144" t="e">
        <f>'Sewer Ent'!#REF!</f>
        <v>#REF!</v>
      </c>
      <c r="K19" s="144" t="e">
        <f>'Sewer Ent'!#REF!</f>
        <v>#REF!</v>
      </c>
      <c r="L19" s="144" t="e">
        <f>'Sewer Ent'!#REF!</f>
        <v>#REF!</v>
      </c>
      <c r="M19" s="144">
        <f>'Sewer Ent'!L78</f>
        <v>238310</v>
      </c>
      <c r="N19" s="126">
        <f>'Sewer Ent'!M78</f>
        <v>222524</v>
      </c>
      <c r="O19" s="126">
        <f>'Sewer Ent'!N78</f>
        <v>214524</v>
      </c>
      <c r="P19" s="126">
        <f>'Sewer Ent'!O78</f>
        <v>224088</v>
      </c>
    </row>
    <row r="20" spans="7:16" ht="12.75"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s="130" customFormat="1" ht="12.75">
      <c r="A21" s="129" t="s">
        <v>0</v>
      </c>
      <c r="G21" s="145" t="e">
        <f>SUM(G16:G20)</f>
        <v>#REF!</v>
      </c>
      <c r="H21" s="145">
        <f aca="true" t="shared" si="0" ref="H21:N21">SUM(H16:H20)</f>
        <v>4867333.109999999</v>
      </c>
      <c r="I21" s="145">
        <f t="shared" si="0"/>
        <v>6103847.2299999995</v>
      </c>
      <c r="J21" s="145" t="e">
        <f t="shared" si="0"/>
        <v>#REF!</v>
      </c>
      <c r="K21" s="145" t="e">
        <f t="shared" si="0"/>
        <v>#REF!</v>
      </c>
      <c r="L21" s="145" t="e">
        <f t="shared" si="0"/>
        <v>#REF!</v>
      </c>
      <c r="M21" s="145">
        <f t="shared" si="0"/>
        <v>5193328</v>
      </c>
      <c r="N21" s="145">
        <f t="shared" si="0"/>
        <v>5603953</v>
      </c>
      <c r="O21" s="145">
        <f>SUM(O16:O20)</f>
        <v>5387922</v>
      </c>
      <c r="P21" s="145">
        <f>SUM(P16:P20)</f>
        <v>6072737</v>
      </c>
    </row>
    <row r="22" spans="1:13" ht="12.75">
      <c r="A22" t="s">
        <v>2818</v>
      </c>
      <c r="G22" s="144"/>
      <c r="H22" s="144"/>
      <c r="I22" s="144"/>
      <c r="J22" s="144"/>
      <c r="K22" s="144"/>
      <c r="L22" s="144"/>
      <c r="M22" s="144"/>
    </row>
    <row r="27" spans="1:16" ht="12.75">
      <c r="A27" s="150" t="s">
        <v>3184</v>
      </c>
      <c r="G27" s="147">
        <f>'Chap 90'!G10</f>
        <v>551103.12</v>
      </c>
      <c r="H27" s="148">
        <f>'Chap 90'!H10</f>
        <v>265692.52</v>
      </c>
      <c r="I27" s="148">
        <f>'Chap 90'!I10</f>
        <v>0</v>
      </c>
      <c r="J27" s="145"/>
      <c r="K27" s="145"/>
      <c r="L27" s="145"/>
      <c r="M27" s="145">
        <f>'Chap 90'!$J$10</f>
        <v>224136.31</v>
      </c>
      <c r="N27" s="145">
        <f>'Chap 90'!$K$10</f>
        <v>647292</v>
      </c>
      <c r="O27" s="145" t="s">
        <v>2180</v>
      </c>
      <c r="P27" s="145">
        <f>'Chap 90'!$L$10</f>
        <v>323538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&amp;C&amp;"Arial,Bold"&amp;11TOWN OF BELMONT ENTERPRISE FUNDS -- CHAPTER 90
FY2006 APPROPRIATIONS</oddHeader>
    <oddFooter>&amp;LEnterprises &amp; Chapter 90&amp;C&amp;P&amp;R&amp;D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view="pageBreakPreview" zoomScale="60" workbookViewId="0" topLeftCell="A1">
      <selection activeCell="J1" sqref="J1:J16384"/>
    </sheetView>
  </sheetViews>
  <sheetFormatPr defaultColWidth="7.00390625" defaultRowHeight="12.75"/>
  <cols>
    <col min="1" max="1" width="10.57421875" style="11" customWidth="1"/>
    <col min="2" max="2" width="12.421875" style="86" customWidth="1"/>
    <col min="3" max="3" width="27.7109375" style="3" customWidth="1"/>
    <col min="4" max="6" width="12.421875" style="19" hidden="1" customWidth="1"/>
    <col min="7" max="7" width="12.7109375" style="8" hidden="1" customWidth="1"/>
    <col min="8" max="8" width="12.7109375" style="9" hidden="1" customWidth="1"/>
    <col min="9" max="9" width="16.57421875" style="8" hidden="1" customWidth="1"/>
    <col min="10" max="10" width="16.7109375" style="9" hidden="1" customWidth="1"/>
    <col min="11" max="11" width="16.7109375" style="9" customWidth="1"/>
    <col min="12" max="12" width="16.57421875" style="9" bestFit="1" customWidth="1"/>
    <col min="13" max="13" width="16.7109375" style="9" customWidth="1"/>
    <col min="14" max="15" width="16.8515625" style="3" customWidth="1"/>
    <col min="16" max="126" width="9.7109375" style="3" customWidth="1"/>
    <col min="127" max="16384" width="7.00390625" style="3" customWidth="1"/>
  </cols>
  <sheetData>
    <row r="1" spans="1:17" ht="12.75">
      <c r="A1" s="15"/>
      <c r="B1" s="204" t="s">
        <v>985</v>
      </c>
      <c r="C1" s="2" t="s">
        <v>2180</v>
      </c>
      <c r="D1" s="17" t="s">
        <v>2170</v>
      </c>
      <c r="E1" s="17" t="s">
        <v>2172</v>
      </c>
      <c r="F1" s="17" t="s">
        <v>2173</v>
      </c>
      <c r="G1" s="13" t="s">
        <v>2174</v>
      </c>
      <c r="H1" s="1" t="s">
        <v>2175</v>
      </c>
      <c r="I1" s="18" t="s">
        <v>725</v>
      </c>
      <c r="J1" s="14" t="s">
        <v>1420</v>
      </c>
      <c r="K1" s="14" t="s">
        <v>2006</v>
      </c>
      <c r="L1" s="14" t="s">
        <v>808</v>
      </c>
      <c r="M1" s="14" t="s">
        <v>2384</v>
      </c>
      <c r="N1" s="14" t="s">
        <v>3163</v>
      </c>
      <c r="O1" s="14" t="s">
        <v>1308</v>
      </c>
      <c r="P1" s="14"/>
      <c r="Q1" s="14"/>
    </row>
    <row r="2" spans="1:17" s="111" customFormat="1" ht="12.75">
      <c r="A2" s="170" t="s">
        <v>2177</v>
      </c>
      <c r="B2" s="205" t="s">
        <v>986</v>
      </c>
      <c r="C2" s="165" t="s">
        <v>2178</v>
      </c>
      <c r="D2" s="166" t="s">
        <v>2179</v>
      </c>
      <c r="E2" s="166" t="s">
        <v>2179</v>
      </c>
      <c r="F2" s="166" t="s">
        <v>2179</v>
      </c>
      <c r="G2" s="167" t="s">
        <v>2179</v>
      </c>
      <c r="H2" s="168" t="s">
        <v>2179</v>
      </c>
      <c r="I2" s="167" t="s">
        <v>2179</v>
      </c>
      <c r="J2" s="168" t="s">
        <v>2179</v>
      </c>
      <c r="K2" s="168" t="s">
        <v>2179</v>
      </c>
      <c r="L2" s="168" t="s">
        <v>2179</v>
      </c>
      <c r="M2" s="168" t="s">
        <v>2011</v>
      </c>
      <c r="N2" s="168" t="s">
        <v>3164</v>
      </c>
      <c r="O2" s="168" t="s">
        <v>1306</v>
      </c>
      <c r="P2" s="168"/>
      <c r="Q2" s="168"/>
    </row>
    <row r="3" spans="1:15" ht="12.75">
      <c r="A3" s="15"/>
      <c r="B3" s="204"/>
      <c r="C3" s="12"/>
      <c r="D3" s="16"/>
      <c r="E3" s="16"/>
      <c r="F3" s="16"/>
      <c r="G3" s="13"/>
      <c r="H3" s="1"/>
      <c r="I3" s="13"/>
      <c r="J3" s="1"/>
      <c r="K3" s="1"/>
      <c r="L3" s="1"/>
      <c r="M3" s="1"/>
      <c r="N3" s="190"/>
      <c r="O3" s="190"/>
    </row>
    <row r="4" spans="2:15" ht="12.75">
      <c r="B4" s="210">
        <v>6504501</v>
      </c>
      <c r="C4" s="48" t="s">
        <v>1</v>
      </c>
      <c r="G4" s="10"/>
      <c r="H4" s="10"/>
      <c r="N4" s="190"/>
      <c r="O4" s="190"/>
    </row>
    <row r="5" spans="7:15" ht="12.75" hidden="1">
      <c r="G5" s="10"/>
      <c r="N5" s="190"/>
      <c r="O5" s="190"/>
    </row>
    <row r="6" spans="1:15" ht="12.75">
      <c r="A6" s="11" t="s">
        <v>2189</v>
      </c>
      <c r="B6" s="86" t="s">
        <v>987</v>
      </c>
      <c r="C6" s="3" t="s">
        <v>2363</v>
      </c>
      <c r="D6" s="19">
        <v>148788</v>
      </c>
      <c r="E6" s="19">
        <v>149399.55</v>
      </c>
      <c r="F6" s="19">
        <v>153603.13</v>
      </c>
      <c r="G6" s="10">
        <v>156119.75</v>
      </c>
      <c r="H6" s="9">
        <v>173384.68</v>
      </c>
      <c r="I6" s="8">
        <v>164083.29</v>
      </c>
      <c r="J6" s="9">
        <v>147604.28</v>
      </c>
      <c r="K6" s="9">
        <v>143535.11</v>
      </c>
      <c r="L6" s="9">
        <v>145077</v>
      </c>
      <c r="M6" s="9">
        <v>158543</v>
      </c>
      <c r="N6" s="190">
        <v>138543</v>
      </c>
      <c r="O6" s="190">
        <v>130210</v>
      </c>
    </row>
    <row r="7" spans="1:15" ht="12.75">
      <c r="A7" s="11" t="s">
        <v>2192</v>
      </c>
      <c r="B7" s="86" t="s">
        <v>991</v>
      </c>
      <c r="C7" s="3" t="s">
        <v>2288</v>
      </c>
      <c r="D7" s="19">
        <v>0</v>
      </c>
      <c r="E7" s="19">
        <v>0</v>
      </c>
      <c r="F7" s="19">
        <v>0</v>
      </c>
      <c r="G7" s="10"/>
      <c r="H7" s="9">
        <v>0</v>
      </c>
      <c r="I7" s="8">
        <v>750</v>
      </c>
      <c r="J7" s="9">
        <v>750</v>
      </c>
      <c r="K7" s="9">
        <v>750</v>
      </c>
      <c r="L7" s="9">
        <v>700</v>
      </c>
      <c r="M7" s="9">
        <v>825</v>
      </c>
      <c r="N7" s="190">
        <v>825</v>
      </c>
      <c r="O7" s="190">
        <v>825</v>
      </c>
    </row>
    <row r="8" spans="1:15" ht="12.75">
      <c r="A8" s="11" t="s">
        <v>4</v>
      </c>
      <c r="B8" s="86" t="s">
        <v>995</v>
      </c>
      <c r="C8" s="3" t="s">
        <v>2222</v>
      </c>
      <c r="D8" s="19">
        <v>21772</v>
      </c>
      <c r="E8" s="19">
        <v>15711</v>
      </c>
      <c r="F8" s="19">
        <v>13099</v>
      </c>
      <c r="G8" s="10">
        <v>9371</v>
      </c>
      <c r="H8" s="9">
        <v>20202</v>
      </c>
      <c r="I8" s="8">
        <v>24818</v>
      </c>
      <c r="J8" s="9">
        <v>12354</v>
      </c>
      <c r="K8" s="9">
        <v>13290</v>
      </c>
      <c r="L8" s="9">
        <v>14951</v>
      </c>
      <c r="M8" s="9">
        <v>16212</v>
      </c>
      <c r="N8" s="190">
        <v>16212</v>
      </c>
      <c r="O8" s="190">
        <v>11540</v>
      </c>
    </row>
    <row r="9" spans="1:15" ht="12.75">
      <c r="A9" s="11" t="s">
        <v>2197</v>
      </c>
      <c r="B9" s="86" t="s">
        <v>993</v>
      </c>
      <c r="C9" s="3" t="s">
        <v>2216</v>
      </c>
      <c r="D9" s="19">
        <v>307</v>
      </c>
      <c r="E9" s="19">
        <v>230</v>
      </c>
      <c r="F9" s="19">
        <v>230</v>
      </c>
      <c r="G9" s="10">
        <v>230</v>
      </c>
      <c r="H9" s="9">
        <v>230</v>
      </c>
      <c r="I9" s="8">
        <v>230</v>
      </c>
      <c r="J9" s="9">
        <v>230</v>
      </c>
      <c r="K9" s="9">
        <v>230</v>
      </c>
      <c r="L9" s="9">
        <v>230</v>
      </c>
      <c r="M9" s="9">
        <v>250</v>
      </c>
      <c r="N9" s="190">
        <v>250</v>
      </c>
      <c r="O9" s="190">
        <v>263</v>
      </c>
    </row>
    <row r="10" spans="1:15" ht="12.75" hidden="1">
      <c r="A10" s="11" t="s">
        <v>3</v>
      </c>
      <c r="C10" s="3" t="s">
        <v>2219</v>
      </c>
      <c r="D10" s="19">
        <v>145</v>
      </c>
      <c r="E10" s="19">
        <v>145</v>
      </c>
      <c r="F10" s="19">
        <v>145</v>
      </c>
      <c r="G10" s="10"/>
      <c r="H10" s="9">
        <v>0</v>
      </c>
      <c r="I10" s="8">
        <v>0</v>
      </c>
      <c r="J10" s="9">
        <v>0</v>
      </c>
      <c r="N10" s="190"/>
      <c r="O10" s="190"/>
    </row>
    <row r="11" spans="1:15" ht="12.75">
      <c r="A11" s="11" t="s">
        <v>6</v>
      </c>
      <c r="B11" s="86" t="s">
        <v>996</v>
      </c>
      <c r="C11" s="3" t="s">
        <v>2298</v>
      </c>
      <c r="D11" s="19">
        <v>1348</v>
      </c>
      <c r="E11" s="19">
        <v>1211</v>
      </c>
      <c r="F11" s="19">
        <v>1281</v>
      </c>
      <c r="G11" s="10">
        <v>1250</v>
      </c>
      <c r="H11" s="9">
        <v>1280</v>
      </c>
      <c r="I11" s="8">
        <v>1380</v>
      </c>
      <c r="J11" s="9">
        <v>1518</v>
      </c>
      <c r="K11" s="9">
        <v>1600</v>
      </c>
      <c r="L11" s="9">
        <v>1600</v>
      </c>
      <c r="M11" s="9">
        <v>1600</v>
      </c>
      <c r="N11" s="190">
        <v>1600</v>
      </c>
      <c r="O11" s="190">
        <v>294</v>
      </c>
    </row>
    <row r="12" spans="1:15" ht="12.75">
      <c r="A12" s="86">
        <v>5005</v>
      </c>
      <c r="B12" s="86" t="s">
        <v>994</v>
      </c>
      <c r="C12" s="3" t="s">
        <v>2219</v>
      </c>
      <c r="G12" s="10"/>
      <c r="N12" s="190"/>
      <c r="O12" s="190">
        <v>0</v>
      </c>
    </row>
    <row r="13" spans="1:15" ht="12.75" hidden="1">
      <c r="A13" s="11" t="s">
        <v>5</v>
      </c>
      <c r="C13" s="3" t="s">
        <v>782</v>
      </c>
      <c r="D13" s="19">
        <v>0</v>
      </c>
      <c r="E13" s="19">
        <v>0</v>
      </c>
      <c r="F13" s="19">
        <v>0</v>
      </c>
      <c r="G13" s="10"/>
      <c r="H13" s="9">
        <v>0</v>
      </c>
      <c r="I13" s="8">
        <v>0</v>
      </c>
      <c r="J13" s="9">
        <v>0</v>
      </c>
      <c r="N13" s="190"/>
      <c r="O13" s="190"/>
    </row>
    <row r="14" spans="1:15" ht="12.75" hidden="1">
      <c r="A14" s="11">
        <v>5007</v>
      </c>
      <c r="B14" s="86" t="s">
        <v>992</v>
      </c>
      <c r="C14" s="3" t="s">
        <v>782</v>
      </c>
      <c r="G14" s="10"/>
      <c r="N14" s="190"/>
      <c r="O14" s="190" t="s">
        <v>2180</v>
      </c>
    </row>
    <row r="15" spans="1:15" ht="12.75">
      <c r="A15" s="11" t="s">
        <v>2</v>
      </c>
      <c r="C15" s="3" t="s">
        <v>2728</v>
      </c>
      <c r="D15" s="19">
        <v>2750</v>
      </c>
      <c r="E15" s="19">
        <v>2999.88</v>
      </c>
      <c r="F15" s="19">
        <v>2999.88</v>
      </c>
      <c r="G15" s="10">
        <v>2999.88</v>
      </c>
      <c r="H15" s="9">
        <v>3000</v>
      </c>
      <c r="I15" s="8">
        <v>2999.88</v>
      </c>
      <c r="J15" s="9">
        <v>249.99</v>
      </c>
      <c r="K15" s="9">
        <v>0</v>
      </c>
      <c r="L15" s="9">
        <v>0</v>
      </c>
      <c r="N15" s="190"/>
      <c r="O15" s="190"/>
    </row>
    <row r="16" spans="3:15" ht="12.75">
      <c r="C16" s="20" t="s">
        <v>2187</v>
      </c>
      <c r="D16" s="21">
        <f aca="true" t="shared" si="0" ref="D16:O16">SUM(D6:D15)</f>
        <v>175110</v>
      </c>
      <c r="E16" s="21">
        <f t="shared" si="0"/>
        <v>169696.43</v>
      </c>
      <c r="F16" s="21">
        <f t="shared" si="0"/>
        <v>171358.01</v>
      </c>
      <c r="G16" s="22">
        <f t="shared" si="0"/>
        <v>169970.63</v>
      </c>
      <c r="H16" s="23">
        <f t="shared" si="0"/>
        <v>198096.68</v>
      </c>
      <c r="I16" s="23">
        <f t="shared" si="0"/>
        <v>194261.17</v>
      </c>
      <c r="J16" s="7">
        <f t="shared" si="0"/>
        <v>162706.27</v>
      </c>
      <c r="K16" s="7">
        <f t="shared" si="0"/>
        <v>159405.11</v>
      </c>
      <c r="L16" s="7">
        <f t="shared" si="0"/>
        <v>162558</v>
      </c>
      <c r="M16" s="7">
        <f t="shared" si="0"/>
        <v>177430</v>
      </c>
      <c r="N16" s="7">
        <f t="shared" si="0"/>
        <v>157430</v>
      </c>
      <c r="O16" s="7">
        <f t="shared" si="0"/>
        <v>143132</v>
      </c>
    </row>
    <row r="17" spans="2:15" ht="9.75" customHeight="1">
      <c r="B17" s="210" t="s">
        <v>1042</v>
      </c>
      <c r="G17" s="10"/>
      <c r="N17" s="190"/>
      <c r="O17" s="190"/>
    </row>
    <row r="18" spans="1:15" ht="12.75">
      <c r="A18" s="11" t="s">
        <v>10</v>
      </c>
      <c r="B18" s="86" t="s">
        <v>1027</v>
      </c>
      <c r="C18" s="3" t="s">
        <v>11</v>
      </c>
      <c r="D18" s="19">
        <v>5292</v>
      </c>
      <c r="E18" s="19">
        <v>5279.55</v>
      </c>
      <c r="F18" s="19">
        <v>5301.78</v>
      </c>
      <c r="G18" s="10">
        <v>8241.13</v>
      </c>
      <c r="H18" s="9">
        <v>5773.74</v>
      </c>
      <c r="I18" s="8">
        <v>9839.15</v>
      </c>
      <c r="J18" s="9">
        <v>7994.13</v>
      </c>
      <c r="K18" s="9">
        <v>11712.75</v>
      </c>
      <c r="L18" s="9">
        <v>9000</v>
      </c>
      <c r="M18" s="9">
        <v>12000</v>
      </c>
      <c r="N18" s="190">
        <v>12000</v>
      </c>
      <c r="O18" s="190">
        <v>13200</v>
      </c>
    </row>
    <row r="19" spans="1:15" ht="12.75">
      <c r="A19" s="11" t="s">
        <v>9</v>
      </c>
      <c r="B19" s="86" t="s">
        <v>999</v>
      </c>
      <c r="C19" s="3" t="s">
        <v>2960</v>
      </c>
      <c r="D19" s="19">
        <v>2725</v>
      </c>
      <c r="E19" s="19">
        <v>3294.2</v>
      </c>
      <c r="F19" s="19">
        <v>3610.07</v>
      </c>
      <c r="G19" s="10">
        <v>3344.58</v>
      </c>
      <c r="H19" s="10">
        <v>2972.13</v>
      </c>
      <c r="I19" s="8">
        <v>4313.71</v>
      </c>
      <c r="J19" s="9">
        <v>3568.45</v>
      </c>
      <c r="K19" s="9">
        <v>3054.99</v>
      </c>
      <c r="L19" s="9">
        <v>4000</v>
      </c>
      <c r="M19" s="9">
        <v>5000</v>
      </c>
      <c r="N19" s="190">
        <v>5000</v>
      </c>
      <c r="O19" s="190">
        <v>6250</v>
      </c>
    </row>
    <row r="20" spans="1:15" ht="12.75">
      <c r="A20" s="11" t="s">
        <v>12</v>
      </c>
      <c r="B20" s="86" t="s">
        <v>1028</v>
      </c>
      <c r="C20" s="3" t="s">
        <v>13</v>
      </c>
      <c r="D20" s="19">
        <v>5484</v>
      </c>
      <c r="E20" s="19">
        <v>1969.95</v>
      </c>
      <c r="F20" s="19">
        <v>1659</v>
      </c>
      <c r="G20" s="10">
        <v>1157.64</v>
      </c>
      <c r="H20" s="9">
        <v>2960.19</v>
      </c>
      <c r="I20" s="8">
        <v>2353.83</v>
      </c>
      <c r="J20" s="9">
        <v>2220.49</v>
      </c>
      <c r="K20" s="9">
        <v>2358.67</v>
      </c>
      <c r="L20" s="9">
        <v>2500</v>
      </c>
      <c r="M20" s="9">
        <v>5000</v>
      </c>
      <c r="N20" s="190">
        <v>4800</v>
      </c>
      <c r="O20" s="190">
        <v>5150</v>
      </c>
    </row>
    <row r="21" spans="1:15" ht="12.75">
      <c r="A21" s="11" t="s">
        <v>17</v>
      </c>
      <c r="B21" s="86" t="s">
        <v>1028</v>
      </c>
      <c r="C21" s="3" t="s">
        <v>18</v>
      </c>
      <c r="D21" s="19">
        <v>1332</v>
      </c>
      <c r="E21" s="19">
        <v>63.5</v>
      </c>
      <c r="F21" s="19">
        <v>580.2</v>
      </c>
      <c r="G21" s="10"/>
      <c r="H21" s="9">
        <v>1469.08</v>
      </c>
      <c r="I21" s="8">
        <v>800</v>
      </c>
      <c r="J21" s="9">
        <v>1202.37</v>
      </c>
      <c r="K21" s="9">
        <v>2367.75</v>
      </c>
      <c r="L21" s="9">
        <v>1500</v>
      </c>
      <c r="M21" s="9">
        <v>2000</v>
      </c>
      <c r="N21" s="190">
        <v>1500</v>
      </c>
      <c r="O21" s="190">
        <v>1545</v>
      </c>
    </row>
    <row r="22" spans="1:15" ht="12.75">
      <c r="A22" s="11" t="s">
        <v>2206</v>
      </c>
      <c r="B22" s="86" t="s">
        <v>1028</v>
      </c>
      <c r="C22" s="3" t="s">
        <v>288</v>
      </c>
      <c r="D22" s="19">
        <v>497</v>
      </c>
      <c r="E22" s="19">
        <v>442.5</v>
      </c>
      <c r="F22" s="19">
        <v>332</v>
      </c>
      <c r="G22" s="10"/>
      <c r="H22" s="9">
        <v>0</v>
      </c>
      <c r="I22" s="8">
        <v>0</v>
      </c>
      <c r="J22" s="9">
        <v>0</v>
      </c>
      <c r="K22" s="9">
        <v>0</v>
      </c>
      <c r="L22" s="9">
        <v>0</v>
      </c>
      <c r="N22" s="190"/>
      <c r="O22" s="190"/>
    </row>
    <row r="23" spans="1:15" ht="12.75">
      <c r="A23" s="11" t="s">
        <v>14</v>
      </c>
      <c r="B23" s="86" t="s">
        <v>1029</v>
      </c>
      <c r="C23" s="3" t="s">
        <v>640</v>
      </c>
      <c r="D23" s="19">
        <v>837</v>
      </c>
      <c r="E23" s="19">
        <v>154</v>
      </c>
      <c r="F23" s="19">
        <v>484.45</v>
      </c>
      <c r="G23" s="10">
        <v>914.83</v>
      </c>
      <c r="H23" s="9">
        <v>860</v>
      </c>
      <c r="I23" s="8">
        <v>775</v>
      </c>
      <c r="J23" s="9">
        <v>642</v>
      </c>
      <c r="K23" s="9">
        <v>0</v>
      </c>
      <c r="L23" s="9">
        <v>1000</v>
      </c>
      <c r="M23" s="9">
        <v>1500</v>
      </c>
      <c r="N23" s="190">
        <v>1500</v>
      </c>
      <c r="O23" s="190">
        <v>1545</v>
      </c>
    </row>
    <row r="24" spans="1:15" ht="12.75">
      <c r="A24" s="11" t="s">
        <v>15</v>
      </c>
      <c r="B24" s="86" t="s">
        <v>1029</v>
      </c>
      <c r="C24" s="3" t="s">
        <v>16</v>
      </c>
      <c r="D24" s="19">
        <v>37196</v>
      </c>
      <c r="E24" s="19">
        <v>11667.08</v>
      </c>
      <c r="F24" s="19">
        <v>12790.56</v>
      </c>
      <c r="G24" s="10">
        <v>16517.14</v>
      </c>
      <c r="H24" s="9">
        <v>23552.43</v>
      </c>
      <c r="I24" s="8">
        <v>26212.73</v>
      </c>
      <c r="J24" s="9">
        <v>5375.52</v>
      </c>
      <c r="K24" s="9">
        <v>25104.02</v>
      </c>
      <c r="L24" s="9">
        <v>20000</v>
      </c>
      <c r="M24" s="9">
        <v>20000</v>
      </c>
      <c r="N24" s="190">
        <v>20000</v>
      </c>
      <c r="O24" s="190">
        <v>20600</v>
      </c>
    </row>
    <row r="25" spans="1:15" ht="12.75">
      <c r="A25" s="11" t="s">
        <v>20</v>
      </c>
      <c r="B25" s="86" t="s">
        <v>1031</v>
      </c>
      <c r="C25" s="3" t="s">
        <v>21</v>
      </c>
      <c r="D25" s="19">
        <v>303</v>
      </c>
      <c r="E25" s="19">
        <v>228</v>
      </c>
      <c r="F25" s="19">
        <v>1080</v>
      </c>
      <c r="G25" s="10">
        <v>81.11</v>
      </c>
      <c r="H25" s="9">
        <v>212</v>
      </c>
      <c r="I25" s="8">
        <v>485</v>
      </c>
      <c r="J25" s="9">
        <v>420</v>
      </c>
      <c r="K25" s="9">
        <v>0</v>
      </c>
      <c r="L25" s="9">
        <v>1500</v>
      </c>
      <c r="M25" s="9">
        <v>1500</v>
      </c>
      <c r="N25" s="190">
        <v>1475</v>
      </c>
      <c r="O25" s="190">
        <v>1545</v>
      </c>
    </row>
    <row r="26" spans="1:15" ht="12.75">
      <c r="A26" s="11">
        <v>5023.5</v>
      </c>
      <c r="B26" s="86" t="s">
        <v>1007</v>
      </c>
      <c r="C26" s="3" t="s">
        <v>3206</v>
      </c>
      <c r="G26" s="10"/>
      <c r="L26" s="9">
        <v>18756</v>
      </c>
      <c r="M26" s="9">
        <v>16500</v>
      </c>
      <c r="N26" s="190">
        <v>10000</v>
      </c>
      <c r="O26" s="190">
        <v>10000</v>
      </c>
    </row>
    <row r="27" spans="2:15" ht="12.75">
      <c r="B27" s="86" t="s">
        <v>1007</v>
      </c>
      <c r="C27" s="3" t="s">
        <v>515</v>
      </c>
      <c r="G27" s="10"/>
      <c r="N27" s="190"/>
      <c r="O27" s="190">
        <v>20020</v>
      </c>
    </row>
    <row r="28" spans="1:15" ht="12.75">
      <c r="A28" s="11">
        <v>5023.1</v>
      </c>
      <c r="B28" s="86" t="s">
        <v>1035</v>
      </c>
      <c r="C28" s="3" t="s">
        <v>30</v>
      </c>
      <c r="G28" s="10"/>
      <c r="H28" s="9">
        <v>1920</v>
      </c>
      <c r="I28" s="8">
        <v>0</v>
      </c>
      <c r="J28" s="9">
        <v>5131.12</v>
      </c>
      <c r="K28" s="9">
        <v>7175.14</v>
      </c>
      <c r="L28" s="9">
        <v>7500</v>
      </c>
      <c r="M28" s="9">
        <v>9500</v>
      </c>
      <c r="N28" s="190">
        <v>9500</v>
      </c>
      <c r="O28" s="190">
        <v>9500</v>
      </c>
    </row>
    <row r="29" spans="1:15" ht="12.75">
      <c r="A29" s="11" t="s">
        <v>22</v>
      </c>
      <c r="B29" s="86" t="s">
        <v>1032</v>
      </c>
      <c r="C29" s="3" t="s">
        <v>2198</v>
      </c>
      <c r="D29" s="19">
        <v>481</v>
      </c>
      <c r="E29" s="19">
        <v>1068.75</v>
      </c>
      <c r="F29" s="19">
        <v>1499.84</v>
      </c>
      <c r="G29" s="10">
        <v>124.05</v>
      </c>
      <c r="H29" s="9">
        <v>1166.4</v>
      </c>
      <c r="I29" s="8">
        <v>863.42</v>
      </c>
      <c r="J29" s="9">
        <v>338.67</v>
      </c>
      <c r="K29" s="9">
        <v>789.08</v>
      </c>
      <c r="L29" s="9">
        <v>1250</v>
      </c>
      <c r="M29" s="9">
        <v>1250</v>
      </c>
      <c r="N29" s="190">
        <v>1250</v>
      </c>
      <c r="O29" s="190">
        <v>1288</v>
      </c>
    </row>
    <row r="30" spans="1:15" ht="12.75" hidden="1">
      <c r="A30" s="11" t="s">
        <v>24</v>
      </c>
      <c r="C30" s="3" t="s">
        <v>25</v>
      </c>
      <c r="D30" s="19">
        <v>0</v>
      </c>
      <c r="E30" s="19">
        <v>0</v>
      </c>
      <c r="F30" s="19">
        <v>0</v>
      </c>
      <c r="G30" s="10"/>
      <c r="H30" s="9">
        <v>0</v>
      </c>
      <c r="I30" s="8">
        <v>0</v>
      </c>
      <c r="J30" s="9">
        <v>0</v>
      </c>
      <c r="K30" s="9">
        <v>0</v>
      </c>
      <c r="L30" s="9">
        <v>0</v>
      </c>
      <c r="N30" s="190"/>
      <c r="O30" s="190"/>
    </row>
    <row r="31" spans="1:15" ht="12.75">
      <c r="A31" s="11" t="s">
        <v>23</v>
      </c>
      <c r="B31" s="86" t="s">
        <v>1000</v>
      </c>
      <c r="C31" s="3" t="s">
        <v>2470</v>
      </c>
      <c r="D31" s="19">
        <v>1195</v>
      </c>
      <c r="E31" s="19">
        <v>3105.56</v>
      </c>
      <c r="F31" s="19">
        <v>2434.01</v>
      </c>
      <c r="G31" s="10">
        <v>3848.23</v>
      </c>
      <c r="H31" s="9">
        <v>3760.25</v>
      </c>
      <c r="I31" s="8">
        <v>6929.38</v>
      </c>
      <c r="J31" s="9">
        <v>7252.96</v>
      </c>
      <c r="K31" s="9">
        <v>7968.84</v>
      </c>
      <c r="L31" s="9">
        <v>7000</v>
      </c>
      <c r="M31" s="9">
        <v>8500</v>
      </c>
      <c r="N31" s="190">
        <v>8500</v>
      </c>
      <c r="O31" s="190">
        <v>8925</v>
      </c>
    </row>
    <row r="32" spans="1:15" ht="12.75">
      <c r="A32" s="11" t="s">
        <v>28</v>
      </c>
      <c r="B32" s="86" t="s">
        <v>1000</v>
      </c>
      <c r="C32" s="3" t="s">
        <v>29</v>
      </c>
      <c r="D32" s="19">
        <v>650</v>
      </c>
      <c r="E32" s="19">
        <v>687.28</v>
      </c>
      <c r="F32" s="19">
        <v>1182.35</v>
      </c>
      <c r="G32" s="10">
        <v>1728.6</v>
      </c>
      <c r="H32" s="9">
        <v>810.84</v>
      </c>
      <c r="I32" s="8">
        <v>742.49</v>
      </c>
      <c r="J32" s="9">
        <v>906.84</v>
      </c>
      <c r="K32" s="9">
        <v>910.14</v>
      </c>
      <c r="L32" s="9">
        <v>1500</v>
      </c>
      <c r="M32" s="9">
        <v>1500</v>
      </c>
      <c r="N32" s="190"/>
      <c r="O32" s="190"/>
    </row>
    <row r="33" spans="1:15" ht="12.75">
      <c r="A33" s="11" t="s">
        <v>27</v>
      </c>
      <c r="B33" s="86" t="s">
        <v>1034</v>
      </c>
      <c r="C33" s="3" t="s">
        <v>2195</v>
      </c>
      <c r="D33" s="19">
        <v>14000</v>
      </c>
      <c r="E33" s="19">
        <v>10019.78</v>
      </c>
      <c r="F33" s="19">
        <v>8783.32</v>
      </c>
      <c r="G33" s="10">
        <v>11511.15</v>
      </c>
      <c r="H33" s="9">
        <v>15000</v>
      </c>
      <c r="I33" s="8">
        <v>17101.23</v>
      </c>
      <c r="J33" s="9">
        <v>13209.18</v>
      </c>
      <c r="K33" s="9">
        <v>15085.56</v>
      </c>
      <c r="L33" s="9">
        <v>18000</v>
      </c>
      <c r="M33" s="9">
        <v>18000</v>
      </c>
      <c r="N33" s="190">
        <v>17400</v>
      </c>
      <c r="O33" s="190">
        <v>18000</v>
      </c>
    </row>
    <row r="34" spans="1:15" ht="12.75">
      <c r="A34" s="11" t="s">
        <v>26</v>
      </c>
      <c r="B34" s="86" t="s">
        <v>1033</v>
      </c>
      <c r="C34" s="3" t="s">
        <v>2193</v>
      </c>
      <c r="D34" s="19">
        <v>7140</v>
      </c>
      <c r="E34" s="19">
        <v>4924.5</v>
      </c>
      <c r="F34" s="19">
        <v>3264.75</v>
      </c>
      <c r="G34" s="10">
        <v>4471.03</v>
      </c>
      <c r="H34" s="9">
        <v>5016.66</v>
      </c>
      <c r="I34" s="8">
        <v>5938.44</v>
      </c>
      <c r="J34" s="9">
        <v>4711.7</v>
      </c>
      <c r="K34" s="9">
        <v>4955.37</v>
      </c>
      <c r="L34" s="9">
        <v>8000</v>
      </c>
      <c r="M34" s="9">
        <v>8000</v>
      </c>
      <c r="N34" s="190">
        <v>7925</v>
      </c>
      <c r="O34" s="190">
        <v>8240</v>
      </c>
    </row>
    <row r="35" spans="2:15" ht="12.75">
      <c r="B35" s="86" t="s">
        <v>519</v>
      </c>
      <c r="C35" s="3" t="s">
        <v>520</v>
      </c>
      <c r="G35" s="10"/>
      <c r="H35" s="10"/>
      <c r="L35" s="9">
        <v>25000</v>
      </c>
      <c r="M35" s="9">
        <v>50000</v>
      </c>
      <c r="N35" s="190">
        <v>50000</v>
      </c>
      <c r="O35" s="190">
        <v>71510</v>
      </c>
    </row>
    <row r="36" spans="1:15" ht="12.75">
      <c r="A36" s="11" t="s">
        <v>31</v>
      </c>
      <c r="B36" s="86" t="s">
        <v>1036</v>
      </c>
      <c r="C36" s="3" t="s">
        <v>2335</v>
      </c>
      <c r="D36" s="19">
        <v>2195</v>
      </c>
      <c r="E36" s="19">
        <v>3001.98</v>
      </c>
      <c r="F36" s="19">
        <v>2192.7</v>
      </c>
      <c r="G36" s="10">
        <v>2180.8</v>
      </c>
      <c r="H36" s="10">
        <v>3267.8</v>
      </c>
      <c r="I36" s="8">
        <v>2157.01</v>
      </c>
      <c r="J36" s="9">
        <v>2410.46</v>
      </c>
      <c r="K36" s="9">
        <v>1814.36</v>
      </c>
      <c r="L36" s="9">
        <v>2200</v>
      </c>
      <c r="M36" s="9">
        <v>2500</v>
      </c>
      <c r="N36" s="190">
        <v>2490</v>
      </c>
      <c r="O36" s="190">
        <v>2575</v>
      </c>
    </row>
    <row r="37" spans="1:15" ht="12.75">
      <c r="A37" s="11" t="s">
        <v>32</v>
      </c>
      <c r="B37" s="86" t="s">
        <v>1037</v>
      </c>
      <c r="C37" s="3" t="s">
        <v>2344</v>
      </c>
      <c r="D37" s="54">
        <v>-164</v>
      </c>
      <c r="E37" s="19">
        <v>1297.45</v>
      </c>
      <c r="F37" s="19">
        <v>1169.38</v>
      </c>
      <c r="G37" s="10">
        <v>2799.95</v>
      </c>
      <c r="H37" s="9">
        <v>3578.74</v>
      </c>
      <c r="I37" s="8">
        <v>1391.31</v>
      </c>
      <c r="J37" s="9">
        <v>2087.23</v>
      </c>
      <c r="K37" s="9">
        <v>2616.49</v>
      </c>
      <c r="L37" s="9">
        <v>2800</v>
      </c>
      <c r="M37" s="9">
        <v>3000</v>
      </c>
      <c r="N37" s="190">
        <v>2900</v>
      </c>
      <c r="O37" s="190">
        <v>3090</v>
      </c>
    </row>
    <row r="38" spans="1:15" ht="12.75">
      <c r="A38" s="11" t="s">
        <v>2209</v>
      </c>
      <c r="B38" s="86" t="s">
        <v>1038</v>
      </c>
      <c r="C38" s="3" t="s">
        <v>1108</v>
      </c>
      <c r="D38" s="19">
        <v>498</v>
      </c>
      <c r="E38" s="19">
        <v>709.4</v>
      </c>
      <c r="F38" s="19">
        <v>438.5</v>
      </c>
      <c r="G38" s="10">
        <v>579.84</v>
      </c>
      <c r="H38" s="9">
        <v>577.92</v>
      </c>
      <c r="I38" s="8">
        <v>0</v>
      </c>
      <c r="J38" s="9">
        <v>420.3</v>
      </c>
      <c r="K38" s="9">
        <v>80.14</v>
      </c>
      <c r="L38" s="9">
        <v>600</v>
      </c>
      <c r="M38" s="9">
        <v>600</v>
      </c>
      <c r="N38" s="190">
        <v>600</v>
      </c>
      <c r="O38" s="190">
        <v>618</v>
      </c>
    </row>
    <row r="39" spans="1:15" ht="12.75">
      <c r="A39" s="11" t="s">
        <v>2212</v>
      </c>
      <c r="B39" s="86" t="s">
        <v>1039</v>
      </c>
      <c r="C39" s="3" t="s">
        <v>2264</v>
      </c>
      <c r="D39" s="19">
        <v>636</v>
      </c>
      <c r="E39" s="19">
        <v>673.7</v>
      </c>
      <c r="F39" s="19">
        <v>821.59</v>
      </c>
      <c r="G39" s="10">
        <v>469.18</v>
      </c>
      <c r="H39" s="9">
        <v>2050.29</v>
      </c>
      <c r="I39" s="8">
        <v>1286.44</v>
      </c>
      <c r="J39" s="9">
        <v>805</v>
      </c>
      <c r="K39" s="9">
        <v>1166.33</v>
      </c>
      <c r="L39" s="9">
        <v>1250</v>
      </c>
      <c r="M39" s="9">
        <v>1250</v>
      </c>
      <c r="N39" s="190">
        <v>1150</v>
      </c>
      <c r="O39" s="190">
        <v>1250</v>
      </c>
    </row>
    <row r="40" spans="1:15" ht="12.75">
      <c r="A40" s="11" t="s">
        <v>19</v>
      </c>
      <c r="B40" s="86" t="s">
        <v>1030</v>
      </c>
      <c r="C40" s="3" t="s">
        <v>702</v>
      </c>
      <c r="D40" s="19">
        <v>320</v>
      </c>
      <c r="E40" s="19">
        <v>110</v>
      </c>
      <c r="F40" s="19">
        <v>0</v>
      </c>
      <c r="G40" s="10">
        <v>65</v>
      </c>
      <c r="H40" s="9">
        <v>0</v>
      </c>
      <c r="I40" s="8">
        <v>0</v>
      </c>
      <c r="J40" s="9">
        <v>0</v>
      </c>
      <c r="K40" s="9">
        <v>0</v>
      </c>
      <c r="L40" s="9">
        <v>100</v>
      </c>
      <c r="M40" s="9">
        <v>360</v>
      </c>
      <c r="N40" s="190">
        <v>360</v>
      </c>
      <c r="O40" s="190">
        <v>371</v>
      </c>
    </row>
    <row r="41" spans="1:15" ht="12.75" hidden="1">
      <c r="A41" s="11" t="s">
        <v>2221</v>
      </c>
      <c r="B41" s="86" t="s">
        <v>1043</v>
      </c>
      <c r="C41" s="3" t="s">
        <v>2350</v>
      </c>
      <c r="D41" s="19">
        <v>1200</v>
      </c>
      <c r="E41" s="19">
        <v>1200</v>
      </c>
      <c r="F41" s="19">
        <v>2400</v>
      </c>
      <c r="G41" s="10">
        <v>2400</v>
      </c>
      <c r="H41" s="10">
        <v>2400</v>
      </c>
      <c r="I41" s="10">
        <v>2602</v>
      </c>
      <c r="J41" s="9">
        <f>2400-2400</f>
        <v>0</v>
      </c>
      <c r="K41" s="9">
        <f>2400-2400</f>
        <v>0</v>
      </c>
      <c r="L41" s="9">
        <f>2400-2400</f>
        <v>0</v>
      </c>
      <c r="N41" s="190"/>
      <c r="O41" s="190"/>
    </row>
    <row r="42" spans="1:15" ht="12.75">
      <c r="A42" s="11">
        <v>5030</v>
      </c>
      <c r="B42" s="86" t="s">
        <v>517</v>
      </c>
      <c r="C42" s="3" t="s">
        <v>518</v>
      </c>
      <c r="G42" s="10"/>
      <c r="H42" s="10"/>
      <c r="I42" s="10"/>
      <c r="J42" s="9">
        <v>7778</v>
      </c>
      <c r="K42" s="9">
        <v>7425</v>
      </c>
      <c r="L42" s="9">
        <v>10000</v>
      </c>
      <c r="M42" s="9">
        <v>10000</v>
      </c>
      <c r="N42" s="190">
        <v>8500</v>
      </c>
      <c r="O42" s="190">
        <v>10500</v>
      </c>
    </row>
    <row r="43" spans="1:15" ht="12.75">
      <c r="A43" s="40">
        <v>5031.1</v>
      </c>
      <c r="B43" s="86" t="s">
        <v>1043</v>
      </c>
      <c r="C43" s="3" t="s">
        <v>34</v>
      </c>
      <c r="G43" s="10"/>
      <c r="H43" s="10"/>
      <c r="I43" s="10">
        <v>0</v>
      </c>
      <c r="J43" s="9">
        <v>2513.76</v>
      </c>
      <c r="K43" s="9">
        <v>0</v>
      </c>
      <c r="L43" s="9">
        <v>2400</v>
      </c>
      <c r="M43" s="9">
        <v>2400</v>
      </c>
      <c r="N43" s="190">
        <v>2400</v>
      </c>
      <c r="O43" s="190">
        <v>2400</v>
      </c>
    </row>
    <row r="44" spans="1:15" ht="12.75">
      <c r="A44" s="11" t="s">
        <v>2224</v>
      </c>
      <c r="B44" s="86" t="s">
        <v>1044</v>
      </c>
      <c r="C44" s="3" t="s">
        <v>35</v>
      </c>
      <c r="D44" s="19">
        <v>993</v>
      </c>
      <c r="E44" s="19">
        <v>895</v>
      </c>
      <c r="F44" s="19">
        <v>1637.98</v>
      </c>
      <c r="G44" s="10">
        <v>1208.1</v>
      </c>
      <c r="H44" s="9">
        <v>1190.11</v>
      </c>
      <c r="I44" s="8">
        <v>662</v>
      </c>
      <c r="J44" s="9">
        <v>1069.45</v>
      </c>
      <c r="K44" s="9">
        <v>540</v>
      </c>
      <c r="L44" s="9">
        <v>3000</v>
      </c>
      <c r="M44" s="9">
        <v>3000</v>
      </c>
      <c r="N44" s="190">
        <v>2500</v>
      </c>
      <c r="O44" s="190">
        <v>3000</v>
      </c>
    </row>
    <row r="45" spans="1:15" ht="12.75">
      <c r="A45" s="11" t="s">
        <v>7</v>
      </c>
      <c r="B45" s="86" t="s">
        <v>1026</v>
      </c>
      <c r="C45" s="3" t="s">
        <v>8</v>
      </c>
      <c r="D45" s="19">
        <v>15</v>
      </c>
      <c r="E45" s="19">
        <v>40</v>
      </c>
      <c r="F45" s="19">
        <v>15</v>
      </c>
      <c r="G45" s="10"/>
      <c r="H45" s="9">
        <v>15</v>
      </c>
      <c r="I45" s="8">
        <v>0</v>
      </c>
      <c r="J45" s="9">
        <v>95</v>
      </c>
      <c r="K45" s="9">
        <v>120</v>
      </c>
      <c r="L45" s="9">
        <v>0</v>
      </c>
      <c r="M45" s="9">
        <v>0</v>
      </c>
      <c r="N45" s="190">
        <v>0</v>
      </c>
      <c r="O45" s="190">
        <v>0</v>
      </c>
    </row>
    <row r="46" spans="3:15" ht="12.75">
      <c r="C46" s="20" t="s">
        <v>1047</v>
      </c>
      <c r="D46" s="21">
        <f aca="true" t="shared" si="1" ref="D46:I46">SUM(D40:D45)</f>
        <v>2528</v>
      </c>
      <c r="E46" s="21">
        <f t="shared" si="1"/>
        <v>2245</v>
      </c>
      <c r="F46" s="21">
        <f t="shared" si="1"/>
        <v>4052.98</v>
      </c>
      <c r="G46" s="22">
        <f t="shared" si="1"/>
        <v>3673.1</v>
      </c>
      <c r="H46" s="23">
        <f t="shared" si="1"/>
        <v>3605.1099999999997</v>
      </c>
      <c r="I46" s="23">
        <f t="shared" si="1"/>
        <v>3264</v>
      </c>
      <c r="J46" s="7">
        <f aca="true" t="shared" si="2" ref="J46:O46">SUM(J18:J45)</f>
        <v>70152.62999999999</v>
      </c>
      <c r="K46" s="7">
        <f t="shared" si="2"/>
        <v>95244.63</v>
      </c>
      <c r="L46" s="7">
        <f t="shared" si="2"/>
        <v>148856</v>
      </c>
      <c r="M46" s="7">
        <f t="shared" si="2"/>
        <v>183360</v>
      </c>
      <c r="N46" s="7">
        <f t="shared" si="2"/>
        <v>171750</v>
      </c>
      <c r="O46" s="7">
        <f t="shared" si="2"/>
        <v>221122</v>
      </c>
    </row>
    <row r="47" spans="2:15" ht="12" customHeight="1">
      <c r="B47" s="210" t="s">
        <v>1040</v>
      </c>
      <c r="G47" s="10"/>
      <c r="N47" s="190"/>
      <c r="O47" s="190"/>
    </row>
    <row r="48" spans="1:15" ht="12.75">
      <c r="A48" s="11" t="s">
        <v>2215</v>
      </c>
      <c r="B48" s="86" t="s">
        <v>1041</v>
      </c>
      <c r="C48" s="3" t="s">
        <v>33</v>
      </c>
      <c r="D48" s="19">
        <v>100000</v>
      </c>
      <c r="E48" s="19">
        <v>100000</v>
      </c>
      <c r="F48" s="19">
        <v>100000</v>
      </c>
      <c r="G48" s="10"/>
      <c r="H48" s="10">
        <v>100000</v>
      </c>
      <c r="I48" s="8">
        <v>100000</v>
      </c>
      <c r="J48" s="9">
        <v>100000</v>
      </c>
      <c r="K48" s="9">
        <v>100000</v>
      </c>
      <c r="L48" s="9">
        <v>135000</v>
      </c>
      <c r="M48" s="9">
        <v>150000</v>
      </c>
      <c r="N48" s="190">
        <v>150000</v>
      </c>
      <c r="O48" s="190">
        <v>150000</v>
      </c>
    </row>
    <row r="49" spans="7:15" ht="6" customHeight="1">
      <c r="G49" s="10"/>
      <c r="N49" s="190"/>
      <c r="O49" s="190"/>
    </row>
    <row r="50" spans="2:15" ht="12.75" customHeight="1">
      <c r="B50" s="210" t="s">
        <v>1045</v>
      </c>
      <c r="G50" s="10"/>
      <c r="N50" s="190"/>
      <c r="O50" s="190"/>
    </row>
    <row r="51" spans="1:15" ht="12.75">
      <c r="A51" s="11" t="s">
        <v>2227</v>
      </c>
      <c r="B51" s="86" t="s">
        <v>1011</v>
      </c>
      <c r="C51" s="3" t="s">
        <v>36</v>
      </c>
      <c r="D51" s="19">
        <v>0</v>
      </c>
      <c r="F51" s="19">
        <v>0</v>
      </c>
      <c r="G51" s="10"/>
      <c r="H51" s="10">
        <v>265.48</v>
      </c>
      <c r="I51" s="8">
        <v>6805.96</v>
      </c>
      <c r="J51" s="9">
        <v>1522.08</v>
      </c>
      <c r="K51" s="9">
        <v>0</v>
      </c>
      <c r="L51" s="9">
        <v>3200</v>
      </c>
      <c r="M51" s="9">
        <v>3200</v>
      </c>
      <c r="N51" s="190">
        <v>3200</v>
      </c>
      <c r="O51" s="190">
        <v>3200</v>
      </c>
    </row>
    <row r="52" spans="1:15" ht="12.75">
      <c r="A52" s="11" t="s">
        <v>2233</v>
      </c>
      <c r="B52" s="86" t="s">
        <v>1046</v>
      </c>
      <c r="C52" s="3" t="s">
        <v>37</v>
      </c>
      <c r="D52" s="19">
        <v>0</v>
      </c>
      <c r="E52" s="19">
        <v>11365.6</v>
      </c>
      <c r="F52" s="19">
        <v>0</v>
      </c>
      <c r="G52" s="10">
        <v>5882</v>
      </c>
      <c r="H52" s="9">
        <v>24208.28</v>
      </c>
      <c r="I52" s="8">
        <v>1418.35</v>
      </c>
      <c r="J52" s="9">
        <v>0</v>
      </c>
      <c r="K52" s="9">
        <v>2567.6</v>
      </c>
      <c r="L52" s="9">
        <v>0</v>
      </c>
      <c r="M52" s="9">
        <v>0</v>
      </c>
      <c r="N52" s="190"/>
      <c r="O52" s="190"/>
    </row>
    <row r="53" spans="3:15" ht="12.75">
      <c r="C53" s="20" t="s">
        <v>2277</v>
      </c>
      <c r="D53" s="21">
        <f aca="true" t="shared" si="3" ref="D53:J53">SUM(D51:D52)</f>
        <v>0</v>
      </c>
      <c r="E53" s="21">
        <f t="shared" si="3"/>
        <v>11365.6</v>
      </c>
      <c r="F53" s="21">
        <f t="shared" si="3"/>
        <v>0</v>
      </c>
      <c r="G53" s="22">
        <f t="shared" si="3"/>
        <v>5882</v>
      </c>
      <c r="H53" s="23">
        <f t="shared" si="3"/>
        <v>24473.76</v>
      </c>
      <c r="I53" s="23">
        <f t="shared" si="3"/>
        <v>8224.31</v>
      </c>
      <c r="J53" s="7">
        <f t="shared" si="3"/>
        <v>1522.08</v>
      </c>
      <c r="K53" s="7">
        <f>SUM(K51:K52)</f>
        <v>2567.6</v>
      </c>
      <c r="L53" s="7">
        <f>SUM(L51:L52)</f>
        <v>3200</v>
      </c>
      <c r="M53" s="7">
        <f>SUM(M51:M52)</f>
        <v>3200</v>
      </c>
      <c r="N53" s="7">
        <f>SUM(N51:N52)</f>
        <v>3200</v>
      </c>
      <c r="O53" s="7">
        <f>SUM(O51:O52)</f>
        <v>3200</v>
      </c>
    </row>
    <row r="54" spans="7:15" ht="12.75">
      <c r="G54" s="10"/>
      <c r="N54" s="9"/>
      <c r="O54" s="9"/>
    </row>
    <row r="55" spans="3:15" ht="12.75">
      <c r="C55" s="2" t="s">
        <v>38</v>
      </c>
      <c r="D55" s="31">
        <f aca="true" t="shared" si="4" ref="D55:I55">SUM(D6:D53)/2</f>
        <v>267786.5</v>
      </c>
      <c r="E55" s="31">
        <f t="shared" si="4"/>
        <v>257600.62000000002</v>
      </c>
      <c r="F55" s="31">
        <f t="shared" si="4"/>
        <v>249223.24000000005</v>
      </c>
      <c r="G55" s="28">
        <f t="shared" si="4"/>
        <v>208510.36000000002</v>
      </c>
      <c r="H55" s="28">
        <f t="shared" si="4"/>
        <v>313649.785</v>
      </c>
      <c r="I55" s="28">
        <f t="shared" si="4"/>
        <v>296344.05</v>
      </c>
      <c r="J55" s="32">
        <f aca="true" t="shared" si="5" ref="J55:O55">SUM(J16+J46+J48+J53)</f>
        <v>334380.98</v>
      </c>
      <c r="K55" s="32">
        <f t="shared" si="5"/>
        <v>357217.33999999997</v>
      </c>
      <c r="L55" s="32">
        <f t="shared" si="5"/>
        <v>449614</v>
      </c>
      <c r="M55" s="32">
        <f t="shared" si="5"/>
        <v>513990</v>
      </c>
      <c r="N55" s="32">
        <f t="shared" si="5"/>
        <v>482380</v>
      </c>
      <c r="O55" s="32">
        <f t="shared" si="5"/>
        <v>517454</v>
      </c>
    </row>
    <row r="56" spans="3:15" ht="12.75">
      <c r="C56" s="2"/>
      <c r="D56" s="31"/>
      <c r="E56" s="31"/>
      <c r="F56" s="31"/>
      <c r="G56" s="28"/>
      <c r="H56" s="28"/>
      <c r="I56" s="28"/>
      <c r="J56" s="32"/>
      <c r="K56" s="32"/>
      <c r="L56" s="32"/>
      <c r="M56" s="32"/>
      <c r="N56" s="190"/>
      <c r="O56" s="190"/>
    </row>
    <row r="57" spans="3:15" ht="12.75">
      <c r="C57" s="2"/>
      <c r="D57" s="31"/>
      <c r="E57" s="31"/>
      <c r="F57" s="31"/>
      <c r="G57" s="28"/>
      <c r="H57" s="28"/>
      <c r="I57" s="28"/>
      <c r="J57" s="32"/>
      <c r="K57" s="32"/>
      <c r="L57" s="32"/>
      <c r="M57" s="32"/>
      <c r="N57" s="190"/>
      <c r="O57" s="190"/>
    </row>
    <row r="58" spans="2:15" ht="12.75">
      <c r="B58" s="210" t="s">
        <v>1050</v>
      </c>
      <c r="C58" s="48" t="s">
        <v>43</v>
      </c>
      <c r="G58" s="10"/>
      <c r="N58" s="190"/>
      <c r="O58" s="190"/>
    </row>
    <row r="59" spans="1:15" ht="12.75">
      <c r="A59" s="11" t="s">
        <v>44</v>
      </c>
      <c r="B59" s="86" t="s">
        <v>987</v>
      </c>
      <c r="C59" s="3" t="s">
        <v>2363</v>
      </c>
      <c r="D59" s="19">
        <v>382927</v>
      </c>
      <c r="E59" s="19">
        <v>399189.57</v>
      </c>
      <c r="F59" s="19">
        <v>443690.09</v>
      </c>
      <c r="G59" s="10">
        <v>479452.63</v>
      </c>
      <c r="H59" s="9">
        <v>508214.81</v>
      </c>
      <c r="I59" s="8">
        <v>466887.1</v>
      </c>
      <c r="J59" s="9">
        <v>466080.23</v>
      </c>
      <c r="K59" s="9">
        <v>500558.95</v>
      </c>
      <c r="L59" s="9">
        <f>528388+2726</f>
        <v>531114</v>
      </c>
      <c r="M59" s="9">
        <v>537577</v>
      </c>
      <c r="N59" s="190">
        <v>537577</v>
      </c>
      <c r="O59" s="190">
        <v>539923</v>
      </c>
    </row>
    <row r="60" spans="1:15" ht="12.75">
      <c r="A60" s="11" t="s">
        <v>45</v>
      </c>
      <c r="B60" s="86" t="s">
        <v>990</v>
      </c>
      <c r="C60" s="3" t="s">
        <v>2186</v>
      </c>
      <c r="D60" s="19">
        <v>35614</v>
      </c>
      <c r="E60" s="19">
        <v>51254.77</v>
      </c>
      <c r="F60" s="19">
        <v>74042.26</v>
      </c>
      <c r="G60" s="10">
        <v>61746.73</v>
      </c>
      <c r="H60" s="9">
        <v>69244.51</v>
      </c>
      <c r="I60" s="8">
        <v>122572.54</v>
      </c>
      <c r="J60" s="9">
        <v>113041.86</v>
      </c>
      <c r="K60" s="9">
        <v>73003.07</v>
      </c>
      <c r="L60" s="9">
        <v>100000</v>
      </c>
      <c r="M60" s="9">
        <v>103000</v>
      </c>
      <c r="N60" s="190">
        <v>103000</v>
      </c>
      <c r="O60" s="190">
        <v>103000</v>
      </c>
    </row>
    <row r="61" spans="1:15" ht="12.75">
      <c r="A61" s="11">
        <v>5059.5</v>
      </c>
      <c r="B61" s="86" t="s">
        <v>990</v>
      </c>
      <c r="C61" s="3" t="s">
        <v>2599</v>
      </c>
      <c r="G61" s="10"/>
      <c r="K61" s="9">
        <v>34234</v>
      </c>
      <c r="N61" s="190"/>
      <c r="O61" s="190"/>
    </row>
    <row r="62" spans="1:15" ht="12.75">
      <c r="A62" s="11" t="s">
        <v>55</v>
      </c>
      <c r="B62" s="86" t="s">
        <v>997</v>
      </c>
      <c r="C62" s="3" t="s">
        <v>689</v>
      </c>
      <c r="D62" s="19">
        <v>1234</v>
      </c>
      <c r="E62" s="19">
        <v>1587</v>
      </c>
      <c r="F62" s="19">
        <v>2584</v>
      </c>
      <c r="G62" s="10">
        <v>2628.24</v>
      </c>
      <c r="H62" s="9">
        <v>1954</v>
      </c>
      <c r="I62" s="8">
        <v>5230.3</v>
      </c>
      <c r="J62" s="9">
        <v>3990</v>
      </c>
      <c r="K62" s="9">
        <v>1450</v>
      </c>
      <c r="L62" s="9">
        <v>4500</v>
      </c>
      <c r="M62" s="9">
        <v>4500</v>
      </c>
      <c r="N62" s="190">
        <v>4500</v>
      </c>
      <c r="O62" s="190">
        <v>4500</v>
      </c>
    </row>
    <row r="63" spans="1:15" ht="12.75">
      <c r="A63" s="11" t="s">
        <v>46</v>
      </c>
      <c r="B63" s="86" t="s">
        <v>991</v>
      </c>
      <c r="C63" s="3" t="s">
        <v>2288</v>
      </c>
      <c r="D63" s="19">
        <v>0</v>
      </c>
      <c r="E63" s="19">
        <v>0</v>
      </c>
      <c r="F63" s="19">
        <v>0</v>
      </c>
      <c r="G63" s="10"/>
      <c r="H63" s="9">
        <v>0</v>
      </c>
      <c r="I63" s="8">
        <v>2762.5</v>
      </c>
      <c r="J63" s="9">
        <v>2862.5</v>
      </c>
      <c r="K63" s="9">
        <v>3112.5</v>
      </c>
      <c r="L63" s="9">
        <v>4650</v>
      </c>
      <c r="M63" s="9">
        <v>4900</v>
      </c>
      <c r="N63" s="190">
        <v>4900</v>
      </c>
      <c r="O63" s="190">
        <v>5850</v>
      </c>
    </row>
    <row r="64" spans="1:15" ht="12.75">
      <c r="A64" s="11" t="s">
        <v>49</v>
      </c>
      <c r="B64" s="86" t="s">
        <v>995</v>
      </c>
      <c r="C64" s="3" t="s">
        <v>2222</v>
      </c>
      <c r="D64" s="19">
        <v>89049</v>
      </c>
      <c r="E64" s="19">
        <v>87701</v>
      </c>
      <c r="F64" s="19">
        <v>105312</v>
      </c>
      <c r="G64" s="10">
        <v>91025</v>
      </c>
      <c r="H64" s="9">
        <v>99642</v>
      </c>
      <c r="I64" s="8">
        <f>74746+31937</f>
        <v>106683</v>
      </c>
      <c r="J64" s="9">
        <v>135600</v>
      </c>
      <c r="K64" s="9">
        <v>184785</v>
      </c>
      <c r="L64" s="9">
        <f>104859+68043</f>
        <v>172902</v>
      </c>
      <c r="M64" s="9">
        <v>165197</v>
      </c>
      <c r="N64" s="190">
        <v>165197</v>
      </c>
      <c r="O64" s="190">
        <v>184931</v>
      </c>
    </row>
    <row r="65" spans="1:15" ht="12.75">
      <c r="A65" s="11" t="s">
        <v>47</v>
      </c>
      <c r="B65" s="86" t="s">
        <v>993</v>
      </c>
      <c r="C65" s="3" t="s">
        <v>2291</v>
      </c>
      <c r="D65" s="19">
        <v>11965</v>
      </c>
      <c r="E65" s="19">
        <v>8974</v>
      </c>
      <c r="F65" s="19">
        <v>8974</v>
      </c>
      <c r="G65" s="10">
        <v>8974</v>
      </c>
      <c r="H65" s="9">
        <v>8974</v>
      </c>
      <c r="I65" s="8">
        <v>8974</v>
      </c>
      <c r="J65" s="9">
        <v>8974</v>
      </c>
      <c r="K65" s="9">
        <v>9765</v>
      </c>
      <c r="L65" s="9">
        <v>9765</v>
      </c>
      <c r="M65" s="9">
        <v>11730</v>
      </c>
      <c r="N65" s="190">
        <v>11730</v>
      </c>
      <c r="O65" s="190">
        <v>12317</v>
      </c>
    </row>
    <row r="66" spans="1:16" ht="12.75">
      <c r="A66" s="11" t="s">
        <v>51</v>
      </c>
      <c r="B66" s="86" t="s">
        <v>996</v>
      </c>
      <c r="C66" s="3" t="s">
        <v>2298</v>
      </c>
      <c r="D66" s="19">
        <v>2406</v>
      </c>
      <c r="E66" s="19">
        <v>3132</v>
      </c>
      <c r="F66" s="19">
        <v>3206</v>
      </c>
      <c r="G66" s="10">
        <v>4510</v>
      </c>
      <c r="H66" s="9">
        <v>3920</v>
      </c>
      <c r="I66" s="8">
        <v>4060</v>
      </c>
      <c r="J66" s="9">
        <v>4466</v>
      </c>
      <c r="K66" s="9">
        <f>8560-1600</f>
        <v>6960</v>
      </c>
      <c r="L66" s="9">
        <f>8560-1600</f>
        <v>6960</v>
      </c>
      <c r="M66" s="9">
        <v>8493</v>
      </c>
      <c r="N66" s="190">
        <v>8493</v>
      </c>
      <c r="O66" s="190">
        <v>8307</v>
      </c>
      <c r="P66" s="3" t="s">
        <v>2180</v>
      </c>
    </row>
    <row r="67" spans="1:15" ht="12.75">
      <c r="A67" s="11" t="s">
        <v>48</v>
      </c>
      <c r="B67" s="86" t="s">
        <v>994</v>
      </c>
      <c r="C67" s="3" t="s">
        <v>2219</v>
      </c>
      <c r="D67" s="19">
        <v>266</v>
      </c>
      <c r="E67" s="19">
        <v>266</v>
      </c>
      <c r="F67" s="19">
        <v>266</v>
      </c>
      <c r="G67" s="10"/>
      <c r="H67" s="9">
        <v>0</v>
      </c>
      <c r="I67" s="8">
        <v>0</v>
      </c>
      <c r="J67" s="9">
        <v>0</v>
      </c>
      <c r="M67" s="9">
        <v>398</v>
      </c>
      <c r="N67" s="190">
        <v>398</v>
      </c>
      <c r="O67" s="190">
        <v>398</v>
      </c>
    </row>
    <row r="68" spans="1:15" ht="12.75">
      <c r="A68" s="11" t="s">
        <v>50</v>
      </c>
      <c r="B68" s="86" t="s">
        <v>992</v>
      </c>
      <c r="C68" s="3" t="s">
        <v>782</v>
      </c>
      <c r="D68" s="19">
        <v>141619</v>
      </c>
      <c r="E68" s="19">
        <v>149070</v>
      </c>
      <c r="F68" s="19">
        <v>153243</v>
      </c>
      <c r="G68" s="10">
        <v>163768</v>
      </c>
      <c r="H68" s="9">
        <v>183740</v>
      </c>
      <c r="I68" s="8">
        <v>193300</v>
      </c>
      <c r="J68" s="9">
        <v>139703</v>
      </c>
      <c r="K68" s="9">
        <v>148085</v>
      </c>
      <c r="L68" s="9">
        <f>141930-4858</f>
        <v>137072</v>
      </c>
      <c r="M68" s="9">
        <v>146769</v>
      </c>
      <c r="N68" s="190">
        <v>146769</v>
      </c>
      <c r="O68" s="190">
        <v>156992</v>
      </c>
    </row>
    <row r="69" spans="1:15" ht="12.75">
      <c r="A69" s="11" t="s">
        <v>52</v>
      </c>
      <c r="B69" s="86" t="s">
        <v>1051</v>
      </c>
      <c r="C69" s="3" t="s">
        <v>588</v>
      </c>
      <c r="D69" s="19">
        <v>4400</v>
      </c>
      <c r="E69" s="19">
        <v>7427</v>
      </c>
      <c r="F69" s="19">
        <v>4250</v>
      </c>
      <c r="G69" s="10">
        <v>5100</v>
      </c>
      <c r="H69" s="9">
        <v>5100</v>
      </c>
      <c r="I69" s="8">
        <v>4250</v>
      </c>
      <c r="J69" s="9">
        <v>4485</v>
      </c>
      <c r="K69" s="9">
        <v>5450</v>
      </c>
      <c r="L69" s="9">
        <v>9210</v>
      </c>
      <c r="M69" s="9">
        <v>9210</v>
      </c>
      <c r="N69" s="190">
        <v>9210</v>
      </c>
      <c r="O69" s="190">
        <v>9210</v>
      </c>
    </row>
    <row r="70" spans="3:15" ht="12.75">
      <c r="C70" s="20" t="s">
        <v>2187</v>
      </c>
      <c r="D70" s="21">
        <f aca="true" t="shared" si="6" ref="D70:O70">SUM(D59:D69)</f>
        <v>669480</v>
      </c>
      <c r="E70" s="21">
        <f t="shared" si="6"/>
        <v>708601.3400000001</v>
      </c>
      <c r="F70" s="21">
        <f t="shared" si="6"/>
        <v>795567.3500000001</v>
      </c>
      <c r="G70" s="22">
        <f t="shared" si="6"/>
        <v>817204.6</v>
      </c>
      <c r="H70" s="23">
        <f t="shared" si="6"/>
        <v>880789.32</v>
      </c>
      <c r="I70" s="23">
        <f t="shared" si="6"/>
        <v>914719.4400000001</v>
      </c>
      <c r="J70" s="7">
        <f t="shared" si="6"/>
        <v>879202.59</v>
      </c>
      <c r="K70" s="7">
        <f t="shared" si="6"/>
        <v>967403.52</v>
      </c>
      <c r="L70" s="7">
        <f t="shared" si="6"/>
        <v>976173</v>
      </c>
      <c r="M70" s="7">
        <f t="shared" si="6"/>
        <v>991774</v>
      </c>
      <c r="N70" s="7">
        <f t="shared" si="6"/>
        <v>991774</v>
      </c>
      <c r="O70" s="7">
        <f t="shared" si="6"/>
        <v>1025428</v>
      </c>
    </row>
    <row r="71" spans="2:15" ht="12" customHeight="1">
      <c r="B71" s="210" t="s">
        <v>1048</v>
      </c>
      <c r="G71" s="10"/>
      <c r="N71" s="190"/>
      <c r="O71" s="190"/>
    </row>
    <row r="72" spans="1:15" ht="12.75">
      <c r="A72" s="11" t="s">
        <v>2230</v>
      </c>
      <c r="B72" s="86" t="s">
        <v>1054</v>
      </c>
      <c r="C72" s="3" t="s">
        <v>61</v>
      </c>
      <c r="D72" s="19">
        <v>7425</v>
      </c>
      <c r="E72" s="19">
        <v>10170</v>
      </c>
      <c r="F72" s="19">
        <v>10395</v>
      </c>
      <c r="G72" s="10">
        <v>8055</v>
      </c>
      <c r="H72" s="9">
        <v>14490</v>
      </c>
      <c r="I72" s="8">
        <v>11565</v>
      </c>
      <c r="J72" s="9">
        <v>11925</v>
      </c>
      <c r="K72" s="9">
        <v>12105</v>
      </c>
      <c r="L72" s="9">
        <v>14000</v>
      </c>
      <c r="M72" s="9">
        <v>14000</v>
      </c>
      <c r="N72" s="190">
        <v>14000</v>
      </c>
      <c r="O72" s="190">
        <v>14420</v>
      </c>
    </row>
    <row r="73" spans="1:15" ht="12.75">
      <c r="A73" s="11" t="s">
        <v>2282</v>
      </c>
      <c r="B73" s="86" t="s">
        <v>1052</v>
      </c>
      <c r="C73" s="3" t="s">
        <v>56</v>
      </c>
      <c r="D73" s="19">
        <v>10926</v>
      </c>
      <c r="E73" s="19">
        <v>7376.3</v>
      </c>
      <c r="F73" s="19">
        <v>10027.87</v>
      </c>
      <c r="G73" s="10">
        <v>9711.97</v>
      </c>
      <c r="H73" s="10">
        <v>5114.71</v>
      </c>
      <c r="I73" s="8">
        <v>12340.11</v>
      </c>
      <c r="J73" s="9">
        <v>8128.15</v>
      </c>
      <c r="K73" s="9">
        <v>8113.17</v>
      </c>
      <c r="L73" s="9">
        <v>8000</v>
      </c>
      <c r="M73" s="9">
        <v>9000</v>
      </c>
      <c r="N73" s="190">
        <v>9000</v>
      </c>
      <c r="O73" s="190">
        <v>9900</v>
      </c>
    </row>
    <row r="74" spans="1:15" ht="12.75">
      <c r="A74" s="11" t="s">
        <v>2284</v>
      </c>
      <c r="B74" s="86" t="s">
        <v>1029</v>
      </c>
      <c r="C74" s="3" t="s">
        <v>57</v>
      </c>
      <c r="D74" s="19">
        <v>990</v>
      </c>
      <c r="E74" s="19">
        <v>784.92</v>
      </c>
      <c r="F74" s="19">
        <v>96.36</v>
      </c>
      <c r="G74" s="10">
        <v>301.05</v>
      </c>
      <c r="H74" s="9">
        <v>212.33</v>
      </c>
      <c r="I74" s="8">
        <v>-112.8</v>
      </c>
      <c r="J74" s="9">
        <v>439</v>
      </c>
      <c r="K74" s="9">
        <v>312.33</v>
      </c>
      <c r="L74" s="9">
        <v>1100</v>
      </c>
      <c r="M74" s="9">
        <v>1500</v>
      </c>
      <c r="N74" s="190">
        <v>1500</v>
      </c>
      <c r="O74" s="190">
        <v>1545</v>
      </c>
    </row>
    <row r="75" spans="2:15" ht="12.75">
      <c r="B75" s="86" t="s">
        <v>516</v>
      </c>
      <c r="C75" s="3" t="s">
        <v>511</v>
      </c>
      <c r="G75" s="10"/>
      <c r="N75" s="190"/>
      <c r="O75" s="190">
        <v>15000</v>
      </c>
    </row>
    <row r="76" spans="1:15" ht="12.75">
      <c r="A76" s="11" t="s">
        <v>1326</v>
      </c>
      <c r="B76" s="86" t="s">
        <v>1056</v>
      </c>
      <c r="C76" s="3" t="s">
        <v>2788</v>
      </c>
      <c r="G76" s="10"/>
      <c r="M76" s="9">
        <v>2500</v>
      </c>
      <c r="N76" s="190">
        <v>2500</v>
      </c>
      <c r="O76" s="190">
        <v>2500</v>
      </c>
    </row>
    <row r="77" spans="1:15" ht="12.75">
      <c r="A77" s="11">
        <v>5084.5</v>
      </c>
      <c r="B77" s="86" t="s">
        <v>1056</v>
      </c>
      <c r="C77" s="3" t="s">
        <v>71</v>
      </c>
      <c r="G77" s="10"/>
      <c r="L77" s="9">
        <v>25000</v>
      </c>
      <c r="M77" s="9">
        <v>0</v>
      </c>
      <c r="N77" s="190"/>
      <c r="O77" s="190">
        <v>0</v>
      </c>
    </row>
    <row r="78" spans="1:15" ht="12.75">
      <c r="A78" s="11" t="s">
        <v>2334</v>
      </c>
      <c r="B78" s="86" t="s">
        <v>1063</v>
      </c>
      <c r="C78" s="3" t="s">
        <v>2664</v>
      </c>
      <c r="D78" s="19">
        <v>0</v>
      </c>
      <c r="E78" s="19">
        <v>0</v>
      </c>
      <c r="F78" s="19">
        <v>0</v>
      </c>
      <c r="G78" s="10"/>
      <c r="H78" s="9">
        <v>0</v>
      </c>
      <c r="I78" s="8">
        <v>0</v>
      </c>
      <c r="J78" s="9">
        <v>0</v>
      </c>
      <c r="K78" s="9">
        <v>0</v>
      </c>
      <c r="L78" s="9">
        <v>1000</v>
      </c>
      <c r="M78" s="9">
        <v>1000</v>
      </c>
      <c r="N78" s="190">
        <v>1000</v>
      </c>
      <c r="O78" s="190">
        <v>1000</v>
      </c>
    </row>
    <row r="79" spans="1:15" ht="12.75">
      <c r="A79" s="11" t="s">
        <v>2290</v>
      </c>
      <c r="B79" s="86" t="s">
        <v>1004</v>
      </c>
      <c r="C79" s="3" t="s">
        <v>59</v>
      </c>
      <c r="D79" s="19">
        <v>29285</v>
      </c>
      <c r="E79" s="19">
        <v>19316.49</v>
      </c>
      <c r="F79" s="19">
        <v>19859.25</v>
      </c>
      <c r="G79" s="10">
        <v>32772.99</v>
      </c>
      <c r="H79" s="9">
        <v>33999.93</v>
      </c>
      <c r="I79" s="8">
        <v>32630.95</v>
      </c>
      <c r="J79" s="9">
        <v>33826.6</v>
      </c>
      <c r="K79" s="9">
        <v>31619.36</v>
      </c>
      <c r="L79" s="9">
        <v>53000</v>
      </c>
      <c r="M79" s="9">
        <v>53000</v>
      </c>
      <c r="N79" s="190">
        <v>53000</v>
      </c>
      <c r="O79" s="190">
        <v>55650</v>
      </c>
    </row>
    <row r="80" spans="1:15" ht="12.75">
      <c r="A80" s="11" t="s">
        <v>2293</v>
      </c>
      <c r="B80" s="86" t="s">
        <v>1003</v>
      </c>
      <c r="C80" s="3" t="s">
        <v>60</v>
      </c>
      <c r="D80" s="19">
        <v>5692</v>
      </c>
      <c r="E80" s="19">
        <v>4595.22</v>
      </c>
      <c r="F80" s="19">
        <v>8496.35</v>
      </c>
      <c r="G80" s="10">
        <v>11257.01</v>
      </c>
      <c r="H80" s="9">
        <v>8425.97</v>
      </c>
      <c r="I80" s="8">
        <v>6447.18</v>
      </c>
      <c r="J80" s="9">
        <v>9312.76</v>
      </c>
      <c r="K80" s="9">
        <v>6802.31</v>
      </c>
      <c r="L80" s="9">
        <v>8500</v>
      </c>
      <c r="M80" s="9">
        <v>8500</v>
      </c>
      <c r="N80" s="190">
        <v>8500</v>
      </c>
      <c r="O80" s="190">
        <v>9018</v>
      </c>
    </row>
    <row r="81" spans="1:15" ht="12.75">
      <c r="A81" s="11" t="s">
        <v>2295</v>
      </c>
      <c r="B81" s="86" t="s">
        <v>1055</v>
      </c>
      <c r="C81" s="3" t="s">
        <v>1207</v>
      </c>
      <c r="D81" s="19">
        <v>568</v>
      </c>
      <c r="E81" s="19">
        <v>1485.03</v>
      </c>
      <c r="F81" s="19">
        <v>0</v>
      </c>
      <c r="G81" s="10"/>
      <c r="H81" s="9">
        <v>0</v>
      </c>
      <c r="I81" s="8">
        <v>842</v>
      </c>
      <c r="J81" s="9">
        <v>0</v>
      </c>
      <c r="K81" s="9">
        <v>0</v>
      </c>
      <c r="L81" s="9">
        <v>3000</v>
      </c>
      <c r="M81" s="9">
        <v>3000</v>
      </c>
      <c r="N81" s="190">
        <v>3000</v>
      </c>
      <c r="O81" s="190">
        <v>3000</v>
      </c>
    </row>
    <row r="82" spans="1:15" ht="12.75">
      <c r="A82" s="11" t="s">
        <v>2323</v>
      </c>
      <c r="B82" s="86" t="s">
        <v>1059</v>
      </c>
      <c r="C82" s="3" t="s">
        <v>2991</v>
      </c>
      <c r="D82" s="19">
        <v>0</v>
      </c>
      <c r="E82" s="19">
        <v>1813.31</v>
      </c>
      <c r="F82" s="19">
        <v>1204.01</v>
      </c>
      <c r="G82" s="10"/>
      <c r="H82" s="9">
        <v>721.95</v>
      </c>
      <c r="I82" s="8">
        <v>321.04</v>
      </c>
      <c r="J82" s="9">
        <v>2281.22</v>
      </c>
      <c r="K82" s="9">
        <v>17.77</v>
      </c>
      <c r="L82" s="9">
        <v>2400</v>
      </c>
      <c r="M82" s="9">
        <v>2400</v>
      </c>
      <c r="N82" s="190">
        <v>2400</v>
      </c>
      <c r="O82" s="190">
        <v>2646</v>
      </c>
    </row>
    <row r="83" spans="1:15" ht="12.75">
      <c r="A83" s="11" t="s">
        <v>2303</v>
      </c>
      <c r="B83" s="86" t="s">
        <v>1058</v>
      </c>
      <c r="C83" s="3" t="s">
        <v>62</v>
      </c>
      <c r="D83" s="19">
        <v>0</v>
      </c>
      <c r="E83" s="19">
        <v>0</v>
      </c>
      <c r="F83" s="19">
        <v>0</v>
      </c>
      <c r="G83" s="10"/>
      <c r="H83" s="9">
        <v>0</v>
      </c>
      <c r="I83" s="8">
        <v>0</v>
      </c>
      <c r="J83" s="9">
        <v>0</v>
      </c>
      <c r="K83" s="9">
        <v>0</v>
      </c>
      <c r="L83" s="9">
        <v>400</v>
      </c>
      <c r="M83" s="9">
        <v>500</v>
      </c>
      <c r="N83" s="190">
        <v>500</v>
      </c>
      <c r="O83" s="190">
        <v>550</v>
      </c>
    </row>
    <row r="84" spans="1:15" ht="12.75">
      <c r="A84" s="11" t="s">
        <v>2297</v>
      </c>
      <c r="B84" s="86" t="s">
        <v>1057</v>
      </c>
      <c r="C84" s="3" t="s">
        <v>842</v>
      </c>
      <c r="D84" s="19">
        <v>2933</v>
      </c>
      <c r="E84" s="19">
        <v>4046.77</v>
      </c>
      <c r="F84" s="19">
        <v>3836.19</v>
      </c>
      <c r="G84" s="10">
        <v>4331.41</v>
      </c>
      <c r="H84" s="10">
        <v>5560.23</v>
      </c>
      <c r="I84" s="8">
        <v>4418.93</v>
      </c>
      <c r="J84" s="9">
        <v>3796.71</v>
      </c>
      <c r="K84" s="9">
        <v>3984.55</v>
      </c>
      <c r="L84" s="9">
        <v>6600</v>
      </c>
      <c r="M84" s="9">
        <v>8250</v>
      </c>
      <c r="N84" s="190">
        <v>8250</v>
      </c>
      <c r="O84" s="190">
        <v>9075</v>
      </c>
    </row>
    <row r="85" spans="1:15" ht="12.75">
      <c r="A85" s="11" t="s">
        <v>2300</v>
      </c>
      <c r="B85" s="86" t="s">
        <v>1057</v>
      </c>
      <c r="C85" s="3" t="s">
        <v>1119</v>
      </c>
      <c r="D85" s="19">
        <v>2516</v>
      </c>
      <c r="E85" s="19">
        <v>2148.68</v>
      </c>
      <c r="F85" s="19">
        <v>2619.64</v>
      </c>
      <c r="G85" s="10">
        <v>3818.99</v>
      </c>
      <c r="H85" s="9">
        <v>2665.05</v>
      </c>
      <c r="I85" s="8">
        <v>3771.65</v>
      </c>
      <c r="J85" s="9">
        <v>3877.76</v>
      </c>
      <c r="K85" s="9">
        <v>4077.82</v>
      </c>
      <c r="L85" s="9">
        <v>5500</v>
      </c>
      <c r="M85" s="9">
        <v>6875</v>
      </c>
      <c r="N85" s="190">
        <v>6875</v>
      </c>
      <c r="O85" s="190">
        <v>7563</v>
      </c>
    </row>
    <row r="86" spans="1:15" ht="12.75">
      <c r="A86" s="11" t="s">
        <v>2326</v>
      </c>
      <c r="B86" s="86" t="s">
        <v>1060</v>
      </c>
      <c r="C86" s="3" t="s">
        <v>63</v>
      </c>
      <c r="D86" s="19">
        <v>16</v>
      </c>
      <c r="E86" s="19">
        <v>0</v>
      </c>
      <c r="F86" s="19">
        <v>0</v>
      </c>
      <c r="G86" s="10"/>
      <c r="H86" s="9">
        <v>33.48</v>
      </c>
      <c r="I86" s="8">
        <v>0</v>
      </c>
      <c r="J86" s="9">
        <v>0</v>
      </c>
      <c r="K86" s="9">
        <v>0</v>
      </c>
      <c r="L86" s="9">
        <v>100</v>
      </c>
      <c r="M86" s="9">
        <v>100</v>
      </c>
      <c r="N86" s="190">
        <v>100</v>
      </c>
      <c r="O86" s="190">
        <v>100</v>
      </c>
    </row>
    <row r="87" spans="1:15" ht="12.75">
      <c r="A87" s="11" t="s">
        <v>2329</v>
      </c>
      <c r="B87" s="86" t="s">
        <v>1008</v>
      </c>
      <c r="C87" s="3" t="s">
        <v>64</v>
      </c>
      <c r="D87" s="19">
        <v>232</v>
      </c>
      <c r="E87" s="19">
        <v>15042.61</v>
      </c>
      <c r="F87" s="19">
        <v>15722.15</v>
      </c>
      <c r="G87" s="10">
        <v>15321.48</v>
      </c>
      <c r="H87" s="9">
        <v>16350.62</v>
      </c>
      <c r="I87" s="8">
        <v>14428.79</v>
      </c>
      <c r="J87" s="9">
        <v>13626.87</v>
      </c>
      <c r="K87" s="9">
        <v>14304.64</v>
      </c>
      <c r="L87" s="9">
        <v>16000</v>
      </c>
      <c r="M87" s="9">
        <v>17000</v>
      </c>
      <c r="N87" s="190">
        <v>17000</v>
      </c>
      <c r="O87" s="190">
        <v>18020</v>
      </c>
    </row>
    <row r="88" spans="1:15" ht="12.75">
      <c r="A88" s="11" t="s">
        <v>2286</v>
      </c>
      <c r="B88" s="86" t="s">
        <v>1053</v>
      </c>
      <c r="C88" s="3" t="s">
        <v>58</v>
      </c>
      <c r="D88" s="19">
        <v>1357</v>
      </c>
      <c r="E88" s="19">
        <v>2254</v>
      </c>
      <c r="F88" s="19">
        <v>784</v>
      </c>
      <c r="G88" s="10"/>
      <c r="H88" s="9">
        <v>3052.25</v>
      </c>
      <c r="I88" s="8">
        <v>427</v>
      </c>
      <c r="J88" s="9">
        <v>881.4</v>
      </c>
      <c r="K88" s="9">
        <v>3030.9</v>
      </c>
      <c r="L88" s="9">
        <v>3200</v>
      </c>
      <c r="M88" s="9">
        <v>3500</v>
      </c>
      <c r="N88" s="190">
        <v>3500</v>
      </c>
      <c r="O88" s="190">
        <v>3851</v>
      </c>
    </row>
    <row r="89" spans="1:15" ht="12.75">
      <c r="A89" s="11" t="s">
        <v>2340</v>
      </c>
      <c r="B89" s="86" t="s">
        <v>1010</v>
      </c>
      <c r="C89" s="3" t="s">
        <v>70</v>
      </c>
      <c r="D89" s="19">
        <v>40628</v>
      </c>
      <c r="E89" s="19">
        <v>42976.86</v>
      </c>
      <c r="F89" s="19">
        <v>139710.57</v>
      </c>
      <c r="G89" s="10">
        <v>16065.84</v>
      </c>
      <c r="H89" s="9">
        <v>65107.31</v>
      </c>
      <c r="I89" s="8">
        <v>116681.68</v>
      </c>
      <c r="J89" s="9">
        <v>124878.9</v>
      </c>
      <c r="K89" s="9">
        <v>176712.09</v>
      </c>
      <c r="L89" s="9">
        <v>100000</v>
      </c>
      <c r="M89" s="9">
        <v>105000</v>
      </c>
      <c r="N89" s="190">
        <v>105000</v>
      </c>
      <c r="O89" s="190">
        <v>70000</v>
      </c>
    </row>
    <row r="90" spans="1:15" ht="12.75">
      <c r="A90" s="11" t="s">
        <v>65</v>
      </c>
      <c r="B90" s="86" t="s">
        <v>1061</v>
      </c>
      <c r="C90" s="3" t="s">
        <v>66</v>
      </c>
      <c r="D90" s="19">
        <v>44073</v>
      </c>
      <c r="E90" s="19">
        <v>39636.33</v>
      </c>
      <c r="F90" s="19">
        <v>26023.5</v>
      </c>
      <c r="G90" s="10">
        <v>41696.38</v>
      </c>
      <c r="H90" s="9">
        <v>47132.78</v>
      </c>
      <c r="I90" s="8">
        <v>34107.02</v>
      </c>
      <c r="J90" s="9">
        <v>40493.63</v>
      </c>
      <c r="K90" s="9">
        <v>35782.06</v>
      </c>
      <c r="L90" s="9">
        <v>44000</v>
      </c>
      <c r="M90" s="9">
        <v>46750</v>
      </c>
      <c r="N90" s="190">
        <v>46750</v>
      </c>
      <c r="O90" s="190">
        <v>49555</v>
      </c>
    </row>
    <row r="91" spans="1:15" ht="12.75">
      <c r="A91" s="11" t="s">
        <v>39</v>
      </c>
      <c r="B91" s="86" t="s">
        <v>1018</v>
      </c>
      <c r="C91" s="3" t="s">
        <v>40</v>
      </c>
      <c r="D91" s="19">
        <v>931007</v>
      </c>
      <c r="E91" s="19">
        <v>984351</v>
      </c>
      <c r="F91" s="19">
        <v>1027245</v>
      </c>
      <c r="G91" s="10">
        <v>1217355.7</v>
      </c>
      <c r="H91" s="9">
        <v>1262884</v>
      </c>
      <c r="I91" s="8">
        <v>1376463.4</v>
      </c>
      <c r="J91" s="9">
        <v>1395114.34</v>
      </c>
      <c r="K91" s="9">
        <v>1466774</v>
      </c>
      <c r="L91" s="9">
        <f>1618847+108563</f>
        <v>1727410</v>
      </c>
      <c r="M91" s="9">
        <v>1876847</v>
      </c>
      <c r="N91" s="190">
        <v>1876847</v>
      </c>
      <c r="O91" s="190">
        <v>2049573</v>
      </c>
    </row>
    <row r="92" spans="1:15" ht="12.75">
      <c r="A92" s="11" t="s">
        <v>53</v>
      </c>
      <c r="B92" s="86" t="s">
        <v>1026</v>
      </c>
      <c r="C92" s="3" t="s">
        <v>54</v>
      </c>
      <c r="D92" s="19">
        <v>133</v>
      </c>
      <c r="E92" s="19">
        <v>80</v>
      </c>
      <c r="F92" s="19">
        <v>216</v>
      </c>
      <c r="G92" s="10">
        <v>75</v>
      </c>
      <c r="H92" s="9">
        <v>300</v>
      </c>
      <c r="I92" s="8">
        <v>115</v>
      </c>
      <c r="J92" s="9">
        <v>250</v>
      </c>
      <c r="K92" s="9">
        <v>60</v>
      </c>
      <c r="L92" s="9">
        <v>400</v>
      </c>
      <c r="M92" s="9">
        <v>400</v>
      </c>
      <c r="N92" s="190">
        <v>400</v>
      </c>
      <c r="O92" s="190">
        <v>400</v>
      </c>
    </row>
    <row r="93" spans="1:15" ht="12.75">
      <c r="A93" s="11" t="s">
        <v>2332</v>
      </c>
      <c r="B93" s="86" t="s">
        <v>1062</v>
      </c>
      <c r="C93" s="3" t="s">
        <v>67</v>
      </c>
      <c r="D93" s="19">
        <v>0</v>
      </c>
      <c r="E93" s="19">
        <v>0</v>
      </c>
      <c r="F93" s="19">
        <v>153.25</v>
      </c>
      <c r="G93" s="10"/>
      <c r="H93" s="10">
        <v>438.69</v>
      </c>
      <c r="I93" s="8">
        <v>2172.5</v>
      </c>
      <c r="J93" s="9">
        <v>0</v>
      </c>
      <c r="K93" s="9">
        <v>0</v>
      </c>
      <c r="L93" s="9">
        <v>2000</v>
      </c>
      <c r="M93" s="9">
        <v>2000</v>
      </c>
      <c r="N93" s="190">
        <v>2000</v>
      </c>
      <c r="O93" s="190">
        <v>2100</v>
      </c>
    </row>
    <row r="94" spans="1:15" ht="12.75">
      <c r="A94" s="11" t="s">
        <v>41</v>
      </c>
      <c r="B94" s="86" t="s">
        <v>1049</v>
      </c>
      <c r="C94" s="3" t="s">
        <v>42</v>
      </c>
      <c r="D94" s="19">
        <v>0</v>
      </c>
      <c r="E94" s="19">
        <v>0</v>
      </c>
      <c r="F94" s="19">
        <v>55321.8</v>
      </c>
      <c r="G94" s="10">
        <v>55321.8</v>
      </c>
      <c r="H94" s="9">
        <v>55321.8</v>
      </c>
      <c r="I94" s="8">
        <v>55321.8</v>
      </c>
      <c r="J94" s="9">
        <v>55321.8</v>
      </c>
      <c r="K94" s="9">
        <v>65000</v>
      </c>
      <c r="L94" s="9">
        <v>65000</v>
      </c>
      <c r="M94" s="9">
        <v>65000</v>
      </c>
      <c r="N94" s="190">
        <v>65000</v>
      </c>
      <c r="O94" s="190">
        <v>65000</v>
      </c>
    </row>
    <row r="95" spans="3:15" ht="12.75">
      <c r="C95" s="20" t="s">
        <v>915</v>
      </c>
      <c r="D95" s="21">
        <f aca="true" t="shared" si="7" ref="D95:I95">SUM(D92:D94)</f>
        <v>133</v>
      </c>
      <c r="E95" s="21">
        <f t="shared" si="7"/>
        <v>80</v>
      </c>
      <c r="F95" s="21">
        <f t="shared" si="7"/>
        <v>55691.05</v>
      </c>
      <c r="G95" s="22">
        <f t="shared" si="7"/>
        <v>55396.8</v>
      </c>
      <c r="H95" s="23">
        <f t="shared" si="7"/>
        <v>56060.490000000005</v>
      </c>
      <c r="I95" s="23">
        <f t="shared" si="7"/>
        <v>57609.3</v>
      </c>
      <c r="J95" s="7">
        <f aca="true" t="shared" si="8" ref="J95:O95">SUM(J72:J94)</f>
        <v>1704154.1400000001</v>
      </c>
      <c r="K95" s="7">
        <f t="shared" si="8"/>
        <v>1828696</v>
      </c>
      <c r="L95" s="7">
        <f t="shared" si="8"/>
        <v>2086610</v>
      </c>
      <c r="M95" s="7">
        <f t="shared" si="8"/>
        <v>2227122</v>
      </c>
      <c r="N95" s="7">
        <f t="shared" si="8"/>
        <v>2227122</v>
      </c>
      <c r="O95" s="7">
        <f t="shared" si="8"/>
        <v>2390466</v>
      </c>
    </row>
    <row r="96" spans="2:15" ht="12.75">
      <c r="B96" s="210" t="s">
        <v>1066</v>
      </c>
      <c r="C96" s="20"/>
      <c r="D96" s="21"/>
      <c r="E96" s="21"/>
      <c r="F96" s="21"/>
      <c r="G96" s="22"/>
      <c r="H96" s="23"/>
      <c r="I96" s="23"/>
      <c r="J96" s="7"/>
      <c r="K96" s="7"/>
      <c r="L96" s="7"/>
      <c r="M96" s="7"/>
      <c r="N96" s="7"/>
      <c r="O96" s="7"/>
    </row>
    <row r="97" spans="1:15" ht="12.75">
      <c r="A97" s="11" t="s">
        <v>2343</v>
      </c>
      <c r="B97" s="86" t="s">
        <v>1011</v>
      </c>
      <c r="C97" s="3" t="s">
        <v>258</v>
      </c>
      <c r="D97" s="19">
        <v>928</v>
      </c>
      <c r="E97" s="19">
        <v>1527.64</v>
      </c>
      <c r="F97" s="19">
        <v>1670.13</v>
      </c>
      <c r="G97" s="10">
        <v>69.98</v>
      </c>
      <c r="H97" s="9">
        <v>3000.05</v>
      </c>
      <c r="I97" s="8">
        <v>5484.45</v>
      </c>
      <c r="J97" s="9">
        <v>2137.34</v>
      </c>
      <c r="K97" s="9">
        <v>123</v>
      </c>
      <c r="L97" s="9">
        <v>3000</v>
      </c>
      <c r="M97" s="9">
        <v>3000</v>
      </c>
      <c r="N97" s="190">
        <v>3000</v>
      </c>
      <c r="O97" s="190">
        <v>3000</v>
      </c>
    </row>
    <row r="98" spans="1:15" ht="12.75">
      <c r="A98" s="11" t="s">
        <v>2346</v>
      </c>
      <c r="B98" s="86" t="s">
        <v>1011</v>
      </c>
      <c r="C98" s="3" t="s">
        <v>2276</v>
      </c>
      <c r="D98" s="19">
        <v>1239</v>
      </c>
      <c r="E98" s="19">
        <v>99</v>
      </c>
      <c r="F98" s="19">
        <v>0</v>
      </c>
      <c r="G98" s="10"/>
      <c r="H98" s="9">
        <v>622.3</v>
      </c>
      <c r="I98" s="8">
        <v>0</v>
      </c>
      <c r="J98" s="9">
        <v>459</v>
      </c>
      <c r="K98" s="9">
        <v>0</v>
      </c>
      <c r="L98" s="9">
        <v>2500</v>
      </c>
      <c r="M98" s="9">
        <v>2500</v>
      </c>
      <c r="N98" s="190">
        <v>2500</v>
      </c>
      <c r="O98" s="190">
        <v>2500</v>
      </c>
    </row>
    <row r="99" spans="1:15" ht="12.75">
      <c r="A99" s="36">
        <v>5089</v>
      </c>
      <c r="B99" s="86" t="s">
        <v>1069</v>
      </c>
      <c r="C99" s="3" t="s">
        <v>73</v>
      </c>
      <c r="D99" s="19">
        <v>0</v>
      </c>
      <c r="E99" s="19">
        <v>349823.6</v>
      </c>
      <c r="F99" s="19">
        <v>17231.95</v>
      </c>
      <c r="G99" s="10"/>
      <c r="H99" s="9">
        <v>0</v>
      </c>
      <c r="I99" s="8">
        <v>0</v>
      </c>
      <c r="J99" s="9">
        <v>0</v>
      </c>
      <c r="K99" s="9">
        <v>4069.8</v>
      </c>
      <c r="L99" s="9">
        <v>0</v>
      </c>
      <c r="N99" s="190"/>
      <c r="O99" s="190"/>
    </row>
    <row r="100" spans="7:15" ht="6" customHeight="1">
      <c r="G100" s="10"/>
      <c r="N100" s="190"/>
      <c r="O100" s="190"/>
    </row>
    <row r="101" spans="2:15" ht="12" customHeight="1">
      <c r="B101" s="210" t="s">
        <v>1064</v>
      </c>
      <c r="G101" s="10"/>
      <c r="N101" s="190"/>
      <c r="O101" s="190"/>
    </row>
    <row r="102" spans="1:15" ht="12.75">
      <c r="A102" s="11" t="s">
        <v>2337</v>
      </c>
      <c r="B102" s="86" t="s">
        <v>1013</v>
      </c>
      <c r="C102" s="3" t="s">
        <v>68</v>
      </c>
      <c r="D102" s="19">
        <v>402830</v>
      </c>
      <c r="E102" s="19">
        <v>654905.19</v>
      </c>
      <c r="F102" s="19">
        <v>718750.23</v>
      </c>
      <c r="G102" s="10">
        <v>332751.23</v>
      </c>
      <c r="H102" s="10">
        <v>942739.73</v>
      </c>
      <c r="I102" s="10">
        <v>519302.01</v>
      </c>
      <c r="J102" s="9">
        <v>34706.51</v>
      </c>
      <c r="K102" s="9">
        <v>424193.04</v>
      </c>
      <c r="L102" s="9">
        <v>647322</v>
      </c>
      <c r="M102" s="9">
        <v>647322</v>
      </c>
      <c r="N102" s="190">
        <v>647322</v>
      </c>
      <c r="O102" s="190">
        <v>140000</v>
      </c>
    </row>
    <row r="103" spans="2:15" ht="12.75">
      <c r="B103" s="210" t="s">
        <v>1065</v>
      </c>
      <c r="G103" s="10"/>
      <c r="H103" s="10"/>
      <c r="I103" s="10"/>
      <c r="N103" s="190"/>
      <c r="O103" s="190"/>
    </row>
    <row r="104" spans="1:15" ht="12.75">
      <c r="A104" s="11">
        <v>5083.5</v>
      </c>
      <c r="B104" s="86" t="s">
        <v>1013</v>
      </c>
      <c r="C104" s="3" t="s">
        <v>69</v>
      </c>
      <c r="G104" s="10"/>
      <c r="H104" s="10"/>
      <c r="I104" s="10"/>
      <c r="J104" s="9">
        <v>287264.53</v>
      </c>
      <c r="K104" s="9">
        <v>266462.34</v>
      </c>
      <c r="L104" s="9">
        <v>0</v>
      </c>
      <c r="N104" s="190"/>
      <c r="O104" s="190"/>
    </row>
    <row r="105" spans="2:15" ht="12.75">
      <c r="B105" s="210" t="s">
        <v>1067</v>
      </c>
      <c r="G105" s="10"/>
      <c r="N105" s="190"/>
      <c r="O105" s="190"/>
    </row>
    <row r="106" spans="1:15" ht="12.75">
      <c r="A106" s="11">
        <v>5090</v>
      </c>
      <c r="B106" s="86" t="s">
        <v>1013</v>
      </c>
      <c r="C106" s="3" t="s">
        <v>120</v>
      </c>
      <c r="G106" s="10"/>
      <c r="L106" s="9">
        <f>65000+31000</f>
        <v>96000</v>
      </c>
      <c r="M106" s="9">
        <v>58000</v>
      </c>
      <c r="N106" s="190">
        <v>58000</v>
      </c>
      <c r="O106" s="190">
        <v>20000</v>
      </c>
    </row>
    <row r="107" spans="2:15" ht="12.75">
      <c r="B107" s="210" t="s">
        <v>1068</v>
      </c>
      <c r="G107" s="10"/>
      <c r="N107" s="190"/>
      <c r="O107" s="190"/>
    </row>
    <row r="108" spans="1:15" ht="12.75">
      <c r="A108" s="36">
        <v>5088</v>
      </c>
      <c r="B108" s="86" t="s">
        <v>1013</v>
      </c>
      <c r="C108" s="3" t="s">
        <v>72</v>
      </c>
      <c r="D108" s="19">
        <v>0</v>
      </c>
      <c r="E108" s="19">
        <v>58959.41</v>
      </c>
      <c r="F108" s="19">
        <v>70018.75</v>
      </c>
      <c r="G108" s="10">
        <v>64941</v>
      </c>
      <c r="H108" s="9">
        <v>63474.68</v>
      </c>
      <c r="I108" s="8">
        <v>70489</v>
      </c>
      <c r="J108" s="9">
        <v>0</v>
      </c>
      <c r="K108" s="9">
        <v>64484.49</v>
      </c>
      <c r="L108" s="9">
        <v>96000</v>
      </c>
      <c r="M108" s="9">
        <v>85000</v>
      </c>
      <c r="N108" s="190">
        <v>76500</v>
      </c>
      <c r="O108" s="190">
        <v>56421</v>
      </c>
    </row>
    <row r="109" spans="3:15" ht="12.75">
      <c r="C109" s="20" t="s">
        <v>2277</v>
      </c>
      <c r="D109" s="21">
        <f aca="true" t="shared" si="9" ref="D109:I109">SUM(D102:D108)</f>
        <v>402830</v>
      </c>
      <c r="E109" s="21">
        <f t="shared" si="9"/>
        <v>713864.6</v>
      </c>
      <c r="F109" s="21">
        <f t="shared" si="9"/>
        <v>788768.98</v>
      </c>
      <c r="G109" s="22">
        <f t="shared" si="9"/>
        <v>397692.23</v>
      </c>
      <c r="H109" s="23">
        <f t="shared" si="9"/>
        <v>1006214.41</v>
      </c>
      <c r="I109" s="23">
        <f t="shared" si="9"/>
        <v>589791.01</v>
      </c>
      <c r="J109" s="7">
        <f aca="true" t="shared" si="10" ref="J109:O109">SUM(J97:J108)</f>
        <v>324567.38</v>
      </c>
      <c r="K109" s="7">
        <f t="shared" si="10"/>
        <v>759332.6699999999</v>
      </c>
      <c r="L109" s="7">
        <f t="shared" si="10"/>
        <v>844822</v>
      </c>
      <c r="M109" s="7">
        <f t="shared" si="10"/>
        <v>795822</v>
      </c>
      <c r="N109" s="7">
        <f t="shared" si="10"/>
        <v>787322</v>
      </c>
      <c r="O109" s="7">
        <f t="shared" si="10"/>
        <v>221921</v>
      </c>
    </row>
    <row r="110" spans="7:15" ht="5.25" customHeight="1">
      <c r="G110" s="10"/>
      <c r="N110" s="9"/>
      <c r="O110" s="9"/>
    </row>
    <row r="111" spans="3:15" ht="12.75">
      <c r="C111" s="2" t="s">
        <v>74</v>
      </c>
      <c r="D111" s="31">
        <f aca="true" t="shared" si="11" ref="D111:I111">SUM(D59:D109)/2</f>
        <v>1612350.5</v>
      </c>
      <c r="E111" s="31">
        <f t="shared" si="11"/>
        <v>2166269.8200000003</v>
      </c>
      <c r="F111" s="31">
        <f t="shared" si="11"/>
        <v>2282488.365</v>
      </c>
      <c r="G111" s="28">
        <f t="shared" si="11"/>
        <v>1950672.5299999996</v>
      </c>
      <c r="H111" s="28">
        <f t="shared" si="11"/>
        <v>2677750.6999999997</v>
      </c>
      <c r="I111" s="28">
        <f t="shared" si="11"/>
        <v>2372027.9499999997</v>
      </c>
      <c r="J111" s="32">
        <f aca="true" t="shared" si="12" ref="J111:O111">SUM(J109+J95+J70)</f>
        <v>2907924.11</v>
      </c>
      <c r="K111" s="32">
        <f t="shared" si="12"/>
        <v>3555432.19</v>
      </c>
      <c r="L111" s="32">
        <f t="shared" si="12"/>
        <v>3907605</v>
      </c>
      <c r="M111" s="32">
        <f t="shared" si="12"/>
        <v>4014718</v>
      </c>
      <c r="N111" s="32">
        <f t="shared" si="12"/>
        <v>4006218</v>
      </c>
      <c r="O111" s="32">
        <f t="shared" si="12"/>
        <v>3637815</v>
      </c>
    </row>
    <row r="112" spans="3:15" ht="12.75">
      <c r="C112" s="2"/>
      <c r="D112" s="31"/>
      <c r="E112" s="31"/>
      <c r="F112" s="31"/>
      <c r="G112" s="28"/>
      <c r="H112" s="28"/>
      <c r="I112" s="28"/>
      <c r="J112" s="32"/>
      <c r="K112" s="32"/>
      <c r="L112" s="32"/>
      <c r="M112" s="32"/>
      <c r="N112" s="32"/>
      <c r="O112" s="32"/>
    </row>
    <row r="113" spans="3:15" ht="5.25" customHeight="1">
      <c r="C113" s="38"/>
      <c r="D113" s="56"/>
      <c r="E113" s="56"/>
      <c r="F113" s="56"/>
      <c r="G113" s="57"/>
      <c r="H113" s="32"/>
      <c r="N113" s="9"/>
      <c r="O113" s="9"/>
    </row>
    <row r="114" spans="3:15" ht="12.75">
      <c r="C114" s="4" t="s">
        <v>75</v>
      </c>
      <c r="D114" s="5" t="e">
        <f>D55+#REF!+D111</f>
        <v>#REF!</v>
      </c>
      <c r="E114" s="5" t="e">
        <f>E55+#REF!+E111</f>
        <v>#REF!</v>
      </c>
      <c r="F114" s="5" t="e">
        <f>F55+#REF!+F111</f>
        <v>#REF!</v>
      </c>
      <c r="G114" s="6" t="e">
        <f>G55+#REF!+G111</f>
        <v>#REF!</v>
      </c>
      <c r="H114" s="23" t="e">
        <f>H55+#REF!+H111</f>
        <v>#REF!</v>
      </c>
      <c r="I114" s="23" t="e">
        <f>I55+#REF!+I111</f>
        <v>#REF!</v>
      </c>
      <c r="J114" s="7">
        <f aca="true" t="shared" si="13" ref="J114:O114">J55+J111</f>
        <v>3242305.09</v>
      </c>
      <c r="K114" s="7">
        <f t="shared" si="13"/>
        <v>3912649.53</v>
      </c>
      <c r="L114" s="7">
        <f t="shared" si="13"/>
        <v>4357219</v>
      </c>
      <c r="M114" s="7">
        <f t="shared" si="13"/>
        <v>4528708</v>
      </c>
      <c r="N114" s="7">
        <f t="shared" si="13"/>
        <v>4488598</v>
      </c>
      <c r="O114" s="7">
        <f t="shared" si="13"/>
        <v>4155269</v>
      </c>
    </row>
    <row r="115" spans="3:15" ht="12.75">
      <c r="C115" s="4"/>
      <c r="D115" s="5"/>
      <c r="E115" s="5"/>
      <c r="F115" s="5"/>
      <c r="G115" s="6"/>
      <c r="H115" s="23"/>
      <c r="I115" s="23"/>
      <c r="J115" s="7"/>
      <c r="K115" s="7"/>
      <c r="L115" s="7"/>
      <c r="M115" s="7"/>
      <c r="N115" s="190"/>
      <c r="O115" s="190"/>
    </row>
    <row r="116" spans="3:15" ht="12.75">
      <c r="C116" s="4"/>
      <c r="D116" s="5"/>
      <c r="E116" s="5"/>
      <c r="F116" s="5"/>
      <c r="G116" s="6"/>
      <c r="H116" s="23"/>
      <c r="I116" s="23"/>
      <c r="J116" s="7"/>
      <c r="K116" s="7"/>
      <c r="L116" s="7"/>
      <c r="M116" s="7"/>
      <c r="N116" s="190"/>
      <c r="O116" s="190"/>
    </row>
    <row r="117" spans="3:15" ht="12.75">
      <c r="C117" s="4" t="s">
        <v>1427</v>
      </c>
      <c r="D117" s="5"/>
      <c r="E117" s="5"/>
      <c r="F117" s="5"/>
      <c r="G117" s="6"/>
      <c r="H117" s="23"/>
      <c r="I117" s="23"/>
      <c r="J117" s="7"/>
      <c r="K117" s="7"/>
      <c r="L117" s="7"/>
      <c r="M117" s="7"/>
      <c r="N117" s="190"/>
      <c r="O117" s="190"/>
    </row>
    <row r="118" spans="1:15" ht="12.75">
      <c r="A118" s="86" t="s">
        <v>114</v>
      </c>
      <c r="C118" s="3" t="s">
        <v>1</v>
      </c>
      <c r="D118" s="37">
        <f aca="true" t="shared" si="14" ref="D118:K118">D55</f>
        <v>267786.5</v>
      </c>
      <c r="E118" s="37">
        <f t="shared" si="14"/>
        <v>257600.62000000002</v>
      </c>
      <c r="F118" s="37">
        <f t="shared" si="14"/>
        <v>249223.24000000005</v>
      </c>
      <c r="G118" s="8">
        <f t="shared" si="14"/>
        <v>208510.36000000002</v>
      </c>
      <c r="H118" s="8">
        <f t="shared" si="14"/>
        <v>313649.785</v>
      </c>
      <c r="I118" s="8">
        <f t="shared" si="14"/>
        <v>296344.05</v>
      </c>
      <c r="J118" s="9">
        <f t="shared" si="14"/>
        <v>334380.98</v>
      </c>
      <c r="K118" s="9">
        <f t="shared" si="14"/>
        <v>357217.33999999997</v>
      </c>
      <c r="L118" s="9">
        <f>L55</f>
        <v>449614</v>
      </c>
      <c r="M118" s="9">
        <f>M55</f>
        <v>513990</v>
      </c>
      <c r="N118" s="9">
        <f>N55</f>
        <v>482380</v>
      </c>
      <c r="O118" s="9">
        <f>O55</f>
        <v>517454</v>
      </c>
    </row>
    <row r="119" spans="1:15" ht="12.75">
      <c r="A119" s="86" t="s">
        <v>115</v>
      </c>
      <c r="C119" s="3" t="s">
        <v>116</v>
      </c>
      <c r="D119" s="37" t="e">
        <f>#REF!</f>
        <v>#REF!</v>
      </c>
      <c r="E119" s="37" t="e">
        <f>#REF!</f>
        <v>#REF!</v>
      </c>
      <c r="F119" s="37" t="e">
        <f>#REF!</f>
        <v>#REF!</v>
      </c>
      <c r="G119" s="8" t="e">
        <f>#REF!</f>
        <v>#REF!</v>
      </c>
      <c r="H119" s="8" t="e">
        <f>#REF!</f>
        <v>#REF!</v>
      </c>
      <c r="I119" s="8" t="e">
        <f>#REF!</f>
        <v>#REF!</v>
      </c>
      <c r="J119" s="9">
        <f aca="true" t="shared" si="15" ref="J119:O119">J91</f>
        <v>1395114.34</v>
      </c>
      <c r="K119" s="9">
        <f t="shared" si="15"/>
        <v>1466774</v>
      </c>
      <c r="L119" s="9">
        <f t="shared" si="15"/>
        <v>1727410</v>
      </c>
      <c r="M119" s="9">
        <f t="shared" si="15"/>
        <v>1876847</v>
      </c>
      <c r="N119" s="9">
        <f t="shared" si="15"/>
        <v>1876847</v>
      </c>
      <c r="O119" s="9">
        <f t="shared" si="15"/>
        <v>2049573</v>
      </c>
    </row>
    <row r="120" spans="1:15" ht="12.75">
      <c r="A120" s="86" t="s">
        <v>117</v>
      </c>
      <c r="C120" s="3" t="s">
        <v>118</v>
      </c>
      <c r="D120" s="37">
        <f aca="true" t="shared" si="16" ref="D120:I120">D111</f>
        <v>1612350.5</v>
      </c>
      <c r="E120" s="37">
        <f t="shared" si="16"/>
        <v>2166269.8200000003</v>
      </c>
      <c r="F120" s="37">
        <f t="shared" si="16"/>
        <v>2282488.365</v>
      </c>
      <c r="G120" s="8">
        <f t="shared" si="16"/>
        <v>1950672.5299999996</v>
      </c>
      <c r="H120" s="8">
        <f t="shared" si="16"/>
        <v>2677750.6999999997</v>
      </c>
      <c r="I120" s="8">
        <f t="shared" si="16"/>
        <v>2372027.9499999997</v>
      </c>
      <c r="J120" s="9">
        <f aca="true" t="shared" si="17" ref="J120:O120">J111-J119</f>
        <v>1512809.7699999998</v>
      </c>
      <c r="K120" s="9">
        <f t="shared" si="17"/>
        <v>2088658.19</v>
      </c>
      <c r="L120" s="9">
        <f t="shared" si="17"/>
        <v>2180195</v>
      </c>
      <c r="M120" s="9">
        <f t="shared" si="17"/>
        <v>2137871</v>
      </c>
      <c r="N120" s="9">
        <f t="shared" si="17"/>
        <v>2129371</v>
      </c>
      <c r="O120" s="9">
        <f t="shared" si="17"/>
        <v>1588242</v>
      </c>
    </row>
    <row r="121" spans="1:15" ht="12.75">
      <c r="A121" s="86"/>
      <c r="C121" s="55" t="s">
        <v>119</v>
      </c>
      <c r="D121" s="21" t="e">
        <f aca="true" t="shared" si="18" ref="D121:L121">SUM(D118:D120)</f>
        <v>#REF!</v>
      </c>
      <c r="E121" s="21" t="e">
        <f t="shared" si="18"/>
        <v>#REF!</v>
      </c>
      <c r="F121" s="21" t="e">
        <f t="shared" si="18"/>
        <v>#REF!</v>
      </c>
      <c r="G121" s="22" t="e">
        <f t="shared" si="18"/>
        <v>#REF!</v>
      </c>
      <c r="H121" s="22" t="e">
        <f t="shared" si="18"/>
        <v>#REF!</v>
      </c>
      <c r="I121" s="22" t="e">
        <f t="shared" si="18"/>
        <v>#REF!</v>
      </c>
      <c r="J121" s="22">
        <f t="shared" si="18"/>
        <v>3242305.09</v>
      </c>
      <c r="K121" s="22">
        <f t="shared" si="18"/>
        <v>3912649.53</v>
      </c>
      <c r="L121" s="22">
        <f t="shared" si="18"/>
        <v>4357219</v>
      </c>
      <c r="M121" s="22">
        <f>SUM(M118:M120)</f>
        <v>4528708</v>
      </c>
      <c r="N121" s="22">
        <f>SUM(N118:N120)</f>
        <v>4488598</v>
      </c>
      <c r="O121" s="22">
        <f>SUM(O118:O120)</f>
        <v>4155269</v>
      </c>
    </row>
    <row r="122" spans="14:15" ht="12.75">
      <c r="N122" s="9"/>
      <c r="O122" s="9"/>
    </row>
    <row r="123" spans="14:15" ht="12.75">
      <c r="N123" s="9"/>
      <c r="O123" s="9"/>
    </row>
    <row r="124" spans="3:15" ht="12.75">
      <c r="C124" s="3" t="s">
        <v>121</v>
      </c>
      <c r="L124" s="9">
        <f>SUM(L121-L125)</f>
        <v>4104058</v>
      </c>
      <c r="M124" s="9">
        <f>SUM(M121-M125)</f>
        <v>4160708</v>
      </c>
      <c r="N124" s="9">
        <f>SUM(N121-N125)</f>
        <v>4120598</v>
      </c>
      <c r="O124" s="9">
        <f>SUM(O121-O125)</f>
        <v>4155269</v>
      </c>
    </row>
    <row r="125" spans="3:15" ht="12.75">
      <c r="C125" s="3" t="s">
        <v>1431</v>
      </c>
      <c r="L125" s="9">
        <f>157161+L106</f>
        <v>253161</v>
      </c>
      <c r="M125" s="9">
        <v>368000</v>
      </c>
      <c r="N125" s="9">
        <v>368000</v>
      </c>
      <c r="O125" s="9">
        <v>0</v>
      </c>
    </row>
  </sheetData>
  <printOptions/>
  <pageMargins left="0.75" right="0.75" top="1" bottom="1" header="0.5" footer="0.5"/>
  <pageSetup horizontalDpi="600" verticalDpi="600" orientation="landscape" scale="81" r:id="rId1"/>
  <headerFooter alignWithMargins="0">
    <oddHeader>&amp;C&amp;"Arial,Bold"&amp;11TOWN OF BELMONT
WATER ENTERPRISE FY2008 BUDGET</oddHeader>
    <oddFooter>&amp;L&amp;A&amp;C&amp;P of &amp;N&amp;R&amp;D</oddFooter>
  </headerFooter>
  <rowBreaks count="1" manualBreakCount="1">
    <brk id="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view="pageBreakPreview" zoomScale="60" workbookViewId="0" topLeftCell="A1">
      <selection activeCell="Q40" sqref="Q40"/>
    </sheetView>
  </sheetViews>
  <sheetFormatPr defaultColWidth="9.140625" defaultRowHeight="12.75"/>
  <cols>
    <col min="1" max="1" width="9.28125" style="0" bestFit="1" customWidth="1"/>
    <col min="2" max="2" width="13.140625" style="142" customWidth="1"/>
    <col min="3" max="3" width="33.421875" style="0" customWidth="1"/>
    <col min="4" max="8" width="9.140625" style="0" hidden="1" customWidth="1"/>
    <col min="9" max="10" width="16.57421875" style="0" hidden="1" customWidth="1"/>
    <col min="11" max="11" width="16.7109375" style="0" customWidth="1"/>
    <col min="12" max="12" width="16.7109375" style="193" customWidth="1"/>
    <col min="13" max="13" width="17.421875" style="0" customWidth="1"/>
    <col min="14" max="15" width="15.8515625" style="0" customWidth="1"/>
  </cols>
  <sheetData>
    <row r="1" spans="1:15" s="3" customFormat="1" ht="12.75">
      <c r="A1" s="15"/>
      <c r="B1" s="204" t="s">
        <v>985</v>
      </c>
      <c r="C1" s="2" t="s">
        <v>2180</v>
      </c>
      <c r="D1" s="17" t="s">
        <v>2170</v>
      </c>
      <c r="E1" s="17" t="s">
        <v>2172</v>
      </c>
      <c r="F1" s="17" t="s">
        <v>2173</v>
      </c>
      <c r="G1" s="13" t="s">
        <v>2174</v>
      </c>
      <c r="H1" s="1" t="s">
        <v>2175</v>
      </c>
      <c r="I1" s="18" t="s">
        <v>725</v>
      </c>
      <c r="J1" s="14" t="s">
        <v>1420</v>
      </c>
      <c r="K1" s="14" t="s">
        <v>2006</v>
      </c>
      <c r="L1" s="14" t="s">
        <v>2817</v>
      </c>
      <c r="M1" s="14" t="s">
        <v>2384</v>
      </c>
      <c r="N1" s="14" t="s">
        <v>3163</v>
      </c>
      <c r="O1" s="14" t="s">
        <v>1308</v>
      </c>
    </row>
    <row r="2" spans="1:15" s="111" customFormat="1" ht="12.75">
      <c r="A2" s="170" t="s">
        <v>2177</v>
      </c>
      <c r="B2" s="205" t="s">
        <v>986</v>
      </c>
      <c r="C2" s="165" t="s">
        <v>2178</v>
      </c>
      <c r="D2" s="166" t="s">
        <v>2179</v>
      </c>
      <c r="E2" s="166" t="s">
        <v>2179</v>
      </c>
      <c r="F2" s="166" t="s">
        <v>2179</v>
      </c>
      <c r="G2" s="167" t="s">
        <v>2179</v>
      </c>
      <c r="H2" s="168" t="s">
        <v>2179</v>
      </c>
      <c r="I2" s="167" t="s">
        <v>2179</v>
      </c>
      <c r="J2" s="168" t="s">
        <v>2179</v>
      </c>
      <c r="K2" s="168" t="s">
        <v>2179</v>
      </c>
      <c r="L2" s="168" t="s">
        <v>2179</v>
      </c>
      <c r="M2" s="168" t="s">
        <v>2011</v>
      </c>
      <c r="N2" s="168" t="s">
        <v>3164</v>
      </c>
      <c r="O2" s="168" t="s">
        <v>1306</v>
      </c>
    </row>
    <row r="4" spans="1:15" s="3" customFormat="1" ht="12.75">
      <c r="A4" s="11"/>
      <c r="B4" s="210">
        <v>6604401</v>
      </c>
      <c r="C4" s="2" t="s">
        <v>3185</v>
      </c>
      <c r="D4" s="19"/>
      <c r="E4" s="19"/>
      <c r="F4" s="19"/>
      <c r="G4" s="10"/>
      <c r="H4" s="9"/>
      <c r="I4" s="8"/>
      <c r="J4" s="9"/>
      <c r="K4" s="9"/>
      <c r="L4" s="9"/>
      <c r="M4" s="9"/>
      <c r="N4" s="9"/>
      <c r="O4" s="9"/>
    </row>
    <row r="5" spans="1:15" s="3" customFormat="1" ht="12.75" hidden="1">
      <c r="A5" s="11"/>
      <c r="B5" s="86"/>
      <c r="D5" s="19"/>
      <c r="E5" s="19"/>
      <c r="F5" s="19"/>
      <c r="G5" s="10"/>
      <c r="H5" s="9"/>
      <c r="I5" s="8"/>
      <c r="J5" s="9"/>
      <c r="K5" s="9"/>
      <c r="L5" s="9"/>
      <c r="M5" s="9"/>
      <c r="N5" s="9"/>
      <c r="O5" s="9"/>
    </row>
    <row r="6" spans="1:15" s="3" customFormat="1" ht="12.75">
      <c r="A6" s="11" t="s">
        <v>3186</v>
      </c>
      <c r="B6" s="86" t="s">
        <v>987</v>
      </c>
      <c r="C6" s="3" t="s">
        <v>617</v>
      </c>
      <c r="D6" s="19">
        <v>270931</v>
      </c>
      <c r="E6" s="19">
        <v>265661.31</v>
      </c>
      <c r="F6" s="19">
        <v>243528.55</v>
      </c>
      <c r="G6" s="10">
        <v>220194.78</v>
      </c>
      <c r="H6" s="9">
        <v>284327.94</v>
      </c>
      <c r="I6" s="10">
        <v>292867.52</v>
      </c>
      <c r="J6" s="9">
        <v>300245.08</v>
      </c>
      <c r="K6" s="9">
        <v>309812.69</v>
      </c>
      <c r="L6" s="9">
        <f>314338+32000</f>
        <v>346338</v>
      </c>
      <c r="M6" s="9">
        <v>316574</v>
      </c>
      <c r="N6" s="9">
        <v>311238</v>
      </c>
      <c r="O6" s="9">
        <v>316574</v>
      </c>
    </row>
    <row r="7" spans="1:15" s="3" customFormat="1" ht="12.75">
      <c r="A7" s="11" t="s">
        <v>3187</v>
      </c>
      <c r="B7" s="86" t="s">
        <v>990</v>
      </c>
      <c r="C7" s="3" t="s">
        <v>2186</v>
      </c>
      <c r="D7" s="19">
        <v>55739</v>
      </c>
      <c r="E7" s="19">
        <v>53174.12</v>
      </c>
      <c r="F7" s="19">
        <v>54410.4</v>
      </c>
      <c r="G7" s="10">
        <v>48638.38</v>
      </c>
      <c r="H7" s="9">
        <v>32569.98</v>
      </c>
      <c r="I7" s="10">
        <v>40237.93</v>
      </c>
      <c r="J7" s="9">
        <v>47992.56</v>
      </c>
      <c r="K7" s="9">
        <v>13256.24</v>
      </c>
      <c r="L7" s="9">
        <v>58251</v>
      </c>
      <c r="M7" s="9">
        <v>64603</v>
      </c>
      <c r="N7" s="9">
        <v>64603</v>
      </c>
      <c r="O7" s="9">
        <v>64603</v>
      </c>
    </row>
    <row r="8" spans="1:15" s="3" customFormat="1" ht="12.75">
      <c r="A8" s="11" t="s">
        <v>3194</v>
      </c>
      <c r="B8" s="86" t="s">
        <v>997</v>
      </c>
      <c r="C8" s="3" t="s">
        <v>689</v>
      </c>
      <c r="D8" s="19">
        <v>808</v>
      </c>
      <c r="E8" s="19">
        <v>192</v>
      </c>
      <c r="F8" s="19">
        <v>334.25</v>
      </c>
      <c r="G8" s="10">
        <v>24</v>
      </c>
      <c r="H8" s="9">
        <v>0</v>
      </c>
      <c r="I8" s="10">
        <v>0</v>
      </c>
      <c r="J8" s="9">
        <v>250</v>
      </c>
      <c r="K8" s="9">
        <v>180</v>
      </c>
      <c r="L8" s="9">
        <v>338</v>
      </c>
      <c r="M8" s="9">
        <v>338</v>
      </c>
      <c r="N8" s="9">
        <v>340</v>
      </c>
      <c r="O8" s="9">
        <v>340</v>
      </c>
    </row>
    <row r="9" spans="1:15" s="3" customFormat="1" ht="12.75">
      <c r="A9" s="11" t="s">
        <v>3188</v>
      </c>
      <c r="B9" s="86" t="s">
        <v>991</v>
      </c>
      <c r="C9" s="3" t="s">
        <v>2288</v>
      </c>
      <c r="D9" s="19">
        <v>2172</v>
      </c>
      <c r="E9" s="19">
        <v>1875</v>
      </c>
      <c r="F9" s="19">
        <v>1575</v>
      </c>
      <c r="G9" s="10">
        <v>1337.5</v>
      </c>
      <c r="H9" s="9">
        <v>1225</v>
      </c>
      <c r="I9" s="10">
        <v>1337.5</v>
      </c>
      <c r="J9" s="9">
        <v>1412.5</v>
      </c>
      <c r="K9" s="9">
        <v>937.5</v>
      </c>
      <c r="L9" s="9">
        <v>1300</v>
      </c>
      <c r="M9" s="9">
        <v>1275</v>
      </c>
      <c r="N9" s="9">
        <v>1275</v>
      </c>
      <c r="O9" s="9">
        <v>1350</v>
      </c>
    </row>
    <row r="10" spans="1:15" s="3" customFormat="1" ht="12.75">
      <c r="A10" s="11" t="s">
        <v>3192</v>
      </c>
      <c r="B10" s="86" t="s">
        <v>995</v>
      </c>
      <c r="C10" s="3" t="s">
        <v>2222</v>
      </c>
      <c r="D10" s="19">
        <v>59302</v>
      </c>
      <c r="E10" s="19">
        <v>59758</v>
      </c>
      <c r="F10" s="19">
        <v>71482</v>
      </c>
      <c r="G10" s="10">
        <v>73815</v>
      </c>
      <c r="H10" s="9">
        <v>96612</v>
      </c>
      <c r="I10" s="10">
        <v>120790</v>
      </c>
      <c r="J10" s="9">
        <v>113738</v>
      </c>
      <c r="K10" s="9">
        <v>122362</v>
      </c>
      <c r="L10" s="9">
        <v>109843</v>
      </c>
      <c r="M10" s="9">
        <v>142582</v>
      </c>
      <c r="N10" s="9">
        <v>142582</v>
      </c>
      <c r="O10" s="9">
        <v>136606</v>
      </c>
    </row>
    <row r="11" spans="1:15" s="3" customFormat="1" ht="12.75">
      <c r="A11" s="11" t="s">
        <v>3190</v>
      </c>
      <c r="B11" s="86" t="s">
        <v>993</v>
      </c>
      <c r="C11" s="3" t="s">
        <v>2216</v>
      </c>
      <c r="D11" s="19">
        <v>19550</v>
      </c>
      <c r="E11" s="19">
        <v>14663</v>
      </c>
      <c r="F11" s="19">
        <v>14663</v>
      </c>
      <c r="G11" s="10">
        <v>14663</v>
      </c>
      <c r="H11" s="9">
        <v>14663</v>
      </c>
      <c r="I11" s="10">
        <v>14663</v>
      </c>
      <c r="J11" s="9">
        <v>14663</v>
      </c>
      <c r="K11" s="9">
        <v>12374</v>
      </c>
      <c r="L11" s="9">
        <v>12374</v>
      </c>
      <c r="M11" s="9">
        <v>13084</v>
      </c>
      <c r="N11" s="9">
        <v>13084</v>
      </c>
      <c r="O11" s="9">
        <v>13738</v>
      </c>
    </row>
    <row r="12" spans="1:15" s="3" customFormat="1" ht="12.75">
      <c r="A12" s="11" t="s">
        <v>3193</v>
      </c>
      <c r="B12" s="86" t="s">
        <v>996</v>
      </c>
      <c r="C12" s="3" t="s">
        <v>2298</v>
      </c>
      <c r="D12" s="19">
        <v>1763</v>
      </c>
      <c r="E12" s="19">
        <v>2515</v>
      </c>
      <c r="F12" s="19">
        <v>1125</v>
      </c>
      <c r="G12" s="10">
        <v>2090</v>
      </c>
      <c r="H12" s="9">
        <v>1500</v>
      </c>
      <c r="I12" s="10">
        <v>2130</v>
      </c>
      <c r="J12" s="9">
        <v>1500</v>
      </c>
      <c r="K12" s="9">
        <v>3645</v>
      </c>
      <c r="L12" s="9">
        <v>3400</v>
      </c>
      <c r="M12" s="9">
        <v>3400</v>
      </c>
      <c r="N12" s="9">
        <v>3400</v>
      </c>
      <c r="O12" s="9">
        <v>3912</v>
      </c>
    </row>
    <row r="13" spans="1:15" s="3" customFormat="1" ht="12.75">
      <c r="A13" s="11" t="s">
        <v>3191</v>
      </c>
      <c r="B13" s="86" t="s">
        <v>994</v>
      </c>
      <c r="C13" s="3" t="s">
        <v>2219</v>
      </c>
      <c r="D13" s="19">
        <v>144</v>
      </c>
      <c r="E13" s="19">
        <v>144</v>
      </c>
      <c r="F13" s="19">
        <v>144</v>
      </c>
      <c r="G13" s="10">
        <v>0</v>
      </c>
      <c r="H13" s="9">
        <v>144</v>
      </c>
      <c r="I13" s="10">
        <v>144</v>
      </c>
      <c r="J13" s="9">
        <v>144</v>
      </c>
      <c r="K13" s="9">
        <v>144</v>
      </c>
      <c r="L13" s="9">
        <v>144</v>
      </c>
      <c r="M13" s="9">
        <v>144</v>
      </c>
      <c r="N13" s="9">
        <v>144</v>
      </c>
      <c r="O13" s="9">
        <v>200</v>
      </c>
    </row>
    <row r="14" spans="1:15" s="3" customFormat="1" ht="12.75">
      <c r="A14" s="11" t="s">
        <v>3189</v>
      </c>
      <c r="B14" s="86" t="s">
        <v>992</v>
      </c>
      <c r="C14" s="3" t="s">
        <v>782</v>
      </c>
      <c r="D14" s="19">
        <v>0</v>
      </c>
      <c r="E14" s="19">
        <v>0</v>
      </c>
      <c r="F14" s="19">
        <v>120000</v>
      </c>
      <c r="G14" s="10">
        <v>120000</v>
      </c>
      <c r="H14" s="9">
        <v>127366</v>
      </c>
      <c r="I14" s="10">
        <v>133480</v>
      </c>
      <c r="J14" s="9">
        <v>153342</v>
      </c>
      <c r="K14" s="9">
        <v>162542</v>
      </c>
      <c r="L14" s="9">
        <f>184354-6184</f>
        <v>178170</v>
      </c>
      <c r="M14" s="9">
        <v>190712</v>
      </c>
      <c r="N14" s="9">
        <v>190712</v>
      </c>
      <c r="O14" s="9">
        <v>214249</v>
      </c>
    </row>
    <row r="15" spans="1:15" s="3" customFormat="1" ht="12.75">
      <c r="A15" s="11" t="s">
        <v>988</v>
      </c>
      <c r="B15" s="86" t="s">
        <v>989</v>
      </c>
      <c r="C15" s="3" t="s">
        <v>741</v>
      </c>
      <c r="D15" s="19"/>
      <c r="E15" s="19"/>
      <c r="F15" s="19"/>
      <c r="G15" s="10"/>
      <c r="H15" s="9"/>
      <c r="I15" s="10"/>
      <c r="J15" s="9"/>
      <c r="K15" s="9"/>
      <c r="L15" s="9"/>
      <c r="M15" s="9">
        <v>500</v>
      </c>
      <c r="N15" s="9">
        <v>500</v>
      </c>
      <c r="O15" s="9">
        <v>500</v>
      </c>
    </row>
    <row r="16" spans="1:15" s="3" customFormat="1" ht="12.75">
      <c r="A16" s="11"/>
      <c r="B16" s="86"/>
      <c r="C16" s="20" t="s">
        <v>2187</v>
      </c>
      <c r="D16" s="21">
        <f aca="true" t="shared" si="0" ref="D16:J16">SUM(D6:D15)</f>
        <v>410409</v>
      </c>
      <c r="E16" s="21">
        <f t="shared" si="0"/>
        <v>397982.43</v>
      </c>
      <c r="F16" s="21">
        <f t="shared" si="0"/>
        <v>507262.2</v>
      </c>
      <c r="G16" s="22">
        <f t="shared" si="0"/>
        <v>480762.66</v>
      </c>
      <c r="H16" s="23">
        <f t="shared" si="0"/>
        <v>558407.9199999999</v>
      </c>
      <c r="I16" s="23">
        <f t="shared" si="0"/>
        <v>605649.95</v>
      </c>
      <c r="J16" s="7">
        <f t="shared" si="0"/>
        <v>633287.14</v>
      </c>
      <c r="K16" s="7">
        <f>SUM(K6:K15)</f>
        <v>625253.4299999999</v>
      </c>
      <c r="L16" s="7">
        <f>SUM(L6:L15)</f>
        <v>710158</v>
      </c>
      <c r="M16" s="7">
        <f>SUM(M6:M15)</f>
        <v>733212</v>
      </c>
      <c r="N16" s="7">
        <f>SUM(N6:N15)</f>
        <v>727878</v>
      </c>
      <c r="O16" s="7">
        <f>SUM(O6:O15)</f>
        <v>752072</v>
      </c>
    </row>
    <row r="17" spans="1:15" s="3" customFormat="1" ht="13.5" customHeight="1">
      <c r="A17" s="11"/>
      <c r="B17" s="210" t="s">
        <v>998</v>
      </c>
      <c r="D17" s="19"/>
      <c r="E17" s="19"/>
      <c r="F17" s="19"/>
      <c r="G17" s="10"/>
      <c r="H17" s="9"/>
      <c r="I17" s="8"/>
      <c r="J17" s="9"/>
      <c r="K17" s="9"/>
      <c r="L17" s="9"/>
      <c r="M17" s="9"/>
      <c r="N17" s="9"/>
      <c r="O17" s="9"/>
    </row>
    <row r="18" spans="1:15" s="3" customFormat="1" ht="12.75">
      <c r="A18" s="11" t="s">
        <v>3195</v>
      </c>
      <c r="B18" s="86" t="s">
        <v>999</v>
      </c>
      <c r="C18" s="3" t="s">
        <v>2960</v>
      </c>
      <c r="D18" s="19">
        <v>1193</v>
      </c>
      <c r="E18" s="19">
        <v>1072.47</v>
      </c>
      <c r="F18" s="19">
        <v>1292.03</v>
      </c>
      <c r="G18" s="10">
        <v>1443.4</v>
      </c>
      <c r="H18" s="10">
        <v>1621.06</v>
      </c>
      <c r="I18" s="10">
        <v>1643.74</v>
      </c>
      <c r="J18" s="9">
        <v>1525.9</v>
      </c>
      <c r="K18" s="9">
        <v>1546.92</v>
      </c>
      <c r="L18" s="9">
        <v>1640</v>
      </c>
      <c r="M18" s="9">
        <v>2050</v>
      </c>
      <c r="N18" s="9">
        <v>2050</v>
      </c>
      <c r="O18" s="9">
        <v>2565</v>
      </c>
    </row>
    <row r="19" spans="1:15" s="3" customFormat="1" ht="12.75">
      <c r="A19" s="11" t="s">
        <v>3198</v>
      </c>
      <c r="B19" s="86" t="s">
        <v>1002</v>
      </c>
      <c r="C19" s="3" t="s">
        <v>3199</v>
      </c>
      <c r="D19" s="19">
        <v>43320</v>
      </c>
      <c r="E19" s="19">
        <v>67861.24</v>
      </c>
      <c r="F19" s="19">
        <v>81784.62</v>
      </c>
      <c r="G19" s="10">
        <v>7553.53</v>
      </c>
      <c r="H19" s="9">
        <v>64449.19</v>
      </c>
      <c r="I19" s="10">
        <v>64597.64</v>
      </c>
      <c r="J19" s="9">
        <v>26532.18</v>
      </c>
      <c r="K19" s="9">
        <v>690</v>
      </c>
      <c r="L19" s="9">
        <v>0</v>
      </c>
      <c r="M19" s="9"/>
      <c r="N19" s="9"/>
      <c r="O19" s="9"/>
    </row>
    <row r="20" spans="1:15" s="3" customFormat="1" ht="12.75">
      <c r="A20" s="11" t="s">
        <v>3200</v>
      </c>
      <c r="B20" s="86" t="s">
        <v>1005</v>
      </c>
      <c r="C20" s="3" t="s">
        <v>3201</v>
      </c>
      <c r="D20" s="19">
        <v>29592</v>
      </c>
      <c r="E20" s="19">
        <v>10827.5</v>
      </c>
      <c r="F20" s="19">
        <v>26658.34</v>
      </c>
      <c r="G20" s="10">
        <v>30525</v>
      </c>
      <c r="H20" s="9">
        <v>18963.19</v>
      </c>
      <c r="I20" s="10">
        <v>31879</v>
      </c>
      <c r="J20" s="9">
        <v>28459.44</v>
      </c>
      <c r="K20" s="9">
        <v>20874.98</v>
      </c>
      <c r="L20" s="9">
        <v>35240</v>
      </c>
      <c r="M20" s="9">
        <v>35240</v>
      </c>
      <c r="N20" s="9">
        <v>25000</v>
      </c>
      <c r="O20" s="9">
        <v>35240</v>
      </c>
    </row>
    <row r="21" spans="1:15" s="3" customFormat="1" ht="12.75">
      <c r="A21" s="11" t="s">
        <v>1006</v>
      </c>
      <c r="B21" s="86" t="s">
        <v>1007</v>
      </c>
      <c r="C21" s="3" t="s">
        <v>3206</v>
      </c>
      <c r="D21" s="19"/>
      <c r="E21" s="19"/>
      <c r="F21" s="19"/>
      <c r="G21" s="10"/>
      <c r="H21" s="9"/>
      <c r="I21" s="10"/>
      <c r="J21" s="9"/>
      <c r="K21" s="9"/>
      <c r="L21" s="9">
        <v>18756</v>
      </c>
      <c r="M21" s="9">
        <v>10000</v>
      </c>
      <c r="N21" s="9">
        <v>10000</v>
      </c>
      <c r="O21" s="9">
        <v>10000</v>
      </c>
    </row>
    <row r="22" spans="1:15" s="3" customFormat="1" ht="12.75">
      <c r="A22" s="11"/>
      <c r="B22" s="86" t="s">
        <v>521</v>
      </c>
      <c r="C22" s="3" t="s">
        <v>522</v>
      </c>
      <c r="D22" s="19"/>
      <c r="E22" s="19"/>
      <c r="F22" s="19"/>
      <c r="G22" s="10"/>
      <c r="H22" s="9"/>
      <c r="I22" s="10"/>
      <c r="J22" s="9"/>
      <c r="K22" s="9"/>
      <c r="L22" s="9"/>
      <c r="M22" s="9"/>
      <c r="N22" s="9">
        <v>11115</v>
      </c>
      <c r="O22" s="9">
        <v>20020</v>
      </c>
    </row>
    <row r="23" spans="1:15" s="3" customFormat="1" ht="12.75">
      <c r="A23" s="11" t="s">
        <v>3202</v>
      </c>
      <c r="B23" s="86" t="s">
        <v>1004</v>
      </c>
      <c r="C23" s="121" t="s">
        <v>3203</v>
      </c>
      <c r="D23" s="19">
        <v>10010</v>
      </c>
      <c r="E23" s="19">
        <v>10544.64</v>
      </c>
      <c r="F23" s="19">
        <v>10107.47</v>
      </c>
      <c r="G23" s="10">
        <v>11750</v>
      </c>
      <c r="H23" s="9">
        <v>11750</v>
      </c>
      <c r="I23" s="10">
        <v>12102</v>
      </c>
      <c r="J23" s="9">
        <v>10766</v>
      </c>
      <c r="K23" s="9">
        <v>12056.6</v>
      </c>
      <c r="L23" s="9">
        <v>12590</v>
      </c>
      <c r="M23" s="9">
        <v>18510</v>
      </c>
      <c r="N23" s="9">
        <v>18510</v>
      </c>
      <c r="O23" s="9">
        <v>19100</v>
      </c>
    </row>
    <row r="24" spans="1:15" s="3" customFormat="1" ht="12.75">
      <c r="A24" s="11" t="s">
        <v>3204</v>
      </c>
      <c r="B24" s="86" t="s">
        <v>1003</v>
      </c>
      <c r="C24" s="3" t="s">
        <v>781</v>
      </c>
      <c r="D24" s="19">
        <v>2752</v>
      </c>
      <c r="E24" s="19">
        <v>3931.01</v>
      </c>
      <c r="F24" s="19">
        <v>4111.97</v>
      </c>
      <c r="G24" s="10">
        <v>4924.96</v>
      </c>
      <c r="H24" s="9">
        <v>1344.32</v>
      </c>
      <c r="I24" s="10">
        <v>4123.44</v>
      </c>
      <c r="J24" s="9">
        <v>4039.36</v>
      </c>
      <c r="K24" s="9">
        <v>1879.35</v>
      </c>
      <c r="L24" s="9">
        <v>5393</v>
      </c>
      <c r="M24" s="9">
        <v>5560</v>
      </c>
      <c r="N24" s="9">
        <v>5560</v>
      </c>
      <c r="O24" s="9">
        <v>5730</v>
      </c>
    </row>
    <row r="25" spans="1:15" s="3" customFormat="1" ht="12.75">
      <c r="A25" s="11" t="s">
        <v>3205</v>
      </c>
      <c r="B25" s="86" t="s">
        <v>1000</v>
      </c>
      <c r="C25" s="3" t="s">
        <v>2470</v>
      </c>
      <c r="D25" s="19">
        <v>726</v>
      </c>
      <c r="E25" s="19">
        <v>797.77</v>
      </c>
      <c r="F25" s="19">
        <v>-223.37</v>
      </c>
      <c r="G25" s="10">
        <v>758.6</v>
      </c>
      <c r="H25" s="9">
        <v>416.06</v>
      </c>
      <c r="I25" s="10">
        <v>700.76</v>
      </c>
      <c r="J25" s="9">
        <v>416.76</v>
      </c>
      <c r="K25" s="9">
        <v>667.26</v>
      </c>
      <c r="L25" s="9">
        <v>834</v>
      </c>
      <c r="M25" s="9">
        <v>834</v>
      </c>
      <c r="N25" s="9">
        <v>834</v>
      </c>
      <c r="O25" s="9">
        <v>860</v>
      </c>
    </row>
    <row r="26" spans="1:15" s="3" customFormat="1" ht="12.75">
      <c r="A26" s="11" t="s">
        <v>3196</v>
      </c>
      <c r="B26" s="86" t="s">
        <v>1001</v>
      </c>
      <c r="C26" s="3" t="s">
        <v>3197</v>
      </c>
      <c r="D26" s="19">
        <v>1611</v>
      </c>
      <c r="E26" s="19">
        <v>1570.74</v>
      </c>
      <c r="F26" s="19">
        <v>333</v>
      </c>
      <c r="G26" s="10">
        <v>2126.45</v>
      </c>
      <c r="H26" s="9">
        <v>1538.68</v>
      </c>
      <c r="I26" s="10">
        <v>2000</v>
      </c>
      <c r="J26" s="9">
        <v>1872.74</v>
      </c>
      <c r="K26" s="9">
        <v>1999.75</v>
      </c>
      <c r="L26" s="9">
        <v>2000</v>
      </c>
      <c r="M26" s="9">
        <v>2000</v>
      </c>
      <c r="N26" s="9">
        <v>2000</v>
      </c>
      <c r="O26" s="9">
        <v>2000</v>
      </c>
    </row>
    <row r="27" spans="1:15" s="3" customFormat="1" ht="12.75">
      <c r="A27" s="11" t="s">
        <v>3207</v>
      </c>
      <c r="B27" s="86" t="s">
        <v>1008</v>
      </c>
      <c r="C27" s="3" t="s">
        <v>787</v>
      </c>
      <c r="D27" s="19">
        <v>43670</v>
      </c>
      <c r="E27" s="19">
        <v>45562.96</v>
      </c>
      <c r="F27" s="19">
        <v>45517.61</v>
      </c>
      <c r="G27" s="10">
        <v>40076.28</v>
      </c>
      <c r="H27" s="10">
        <v>42775.56</v>
      </c>
      <c r="I27" s="10">
        <v>46331.45</v>
      </c>
      <c r="J27" s="9">
        <v>46893.01</v>
      </c>
      <c r="K27" s="9">
        <v>48294.68</v>
      </c>
      <c r="L27" s="9">
        <v>49297</v>
      </c>
      <c r="M27" s="9">
        <v>50780</v>
      </c>
      <c r="N27" s="9">
        <v>50780</v>
      </c>
      <c r="O27" s="9">
        <v>52303</v>
      </c>
    </row>
    <row r="28" spans="1:15" s="3" customFormat="1" ht="12.75">
      <c r="A28" s="11" t="s">
        <v>1009</v>
      </c>
      <c r="B28" s="86" t="s">
        <v>1010</v>
      </c>
      <c r="C28" s="3" t="s">
        <v>3213</v>
      </c>
      <c r="D28" s="19">
        <v>0</v>
      </c>
      <c r="E28" s="19">
        <v>0</v>
      </c>
      <c r="F28" s="19">
        <v>97390.64</v>
      </c>
      <c r="G28" s="10">
        <v>0</v>
      </c>
      <c r="H28" s="9">
        <v>0</v>
      </c>
      <c r="I28" s="10">
        <v>0</v>
      </c>
      <c r="J28" s="9">
        <v>0</v>
      </c>
      <c r="K28" s="9">
        <v>0</v>
      </c>
      <c r="L28" s="9">
        <v>0</v>
      </c>
      <c r="M28" s="9">
        <v>5500</v>
      </c>
      <c r="N28" s="9">
        <v>5500</v>
      </c>
      <c r="O28" s="9">
        <v>5500</v>
      </c>
    </row>
    <row r="29" spans="1:15" s="3" customFormat="1" ht="12.75">
      <c r="A29" s="11" t="s">
        <v>3219</v>
      </c>
      <c r="B29" s="86" t="s">
        <v>1018</v>
      </c>
      <c r="C29" s="3" t="s">
        <v>3220</v>
      </c>
      <c r="D29" s="19">
        <v>3185921</v>
      </c>
      <c r="E29" s="19">
        <v>3247269</v>
      </c>
      <c r="F29" s="19">
        <v>3642496</v>
      </c>
      <c r="G29" s="10">
        <v>3558201</v>
      </c>
      <c r="H29" s="9">
        <v>3565854</v>
      </c>
      <c r="I29" s="10">
        <v>3591169</v>
      </c>
      <c r="J29" s="9">
        <v>3530481.4</v>
      </c>
      <c r="K29" s="9">
        <v>3463332.91</v>
      </c>
      <c r="L29" s="9">
        <f>3657868-101658</f>
        <v>3556210</v>
      </c>
      <c r="M29" s="9">
        <v>3909193</v>
      </c>
      <c r="N29" s="9">
        <v>3705621</v>
      </c>
      <c r="O29" s="9">
        <v>4065070</v>
      </c>
    </row>
    <row r="30" spans="1:15" s="3" customFormat="1" ht="12.75">
      <c r="A30" s="36" t="s">
        <v>3221</v>
      </c>
      <c r="B30" s="86" t="s">
        <v>1020</v>
      </c>
      <c r="C30" s="3" t="s">
        <v>3222</v>
      </c>
      <c r="D30" s="19">
        <v>0</v>
      </c>
      <c r="E30" s="19">
        <v>0</v>
      </c>
      <c r="F30" s="19">
        <v>0</v>
      </c>
      <c r="G30" s="10">
        <v>114086</v>
      </c>
      <c r="H30" s="9">
        <v>114086</v>
      </c>
      <c r="I30" s="10">
        <v>114086</v>
      </c>
      <c r="J30" s="9">
        <v>114086</v>
      </c>
      <c r="K30" s="9">
        <v>114086</v>
      </c>
      <c r="L30" s="9">
        <v>280000</v>
      </c>
      <c r="M30" s="9">
        <f>13750+276000</f>
        <v>289750</v>
      </c>
      <c r="N30" s="9">
        <v>289750</v>
      </c>
      <c r="O30" s="9">
        <f>21000+235000</f>
        <v>256000</v>
      </c>
    </row>
    <row r="31" spans="1:15" s="3" customFormat="1" ht="12.75">
      <c r="A31" s="36" t="s">
        <v>1021</v>
      </c>
      <c r="B31" s="86" t="s">
        <v>1022</v>
      </c>
      <c r="C31" s="3" t="s">
        <v>3224</v>
      </c>
      <c r="D31" s="19"/>
      <c r="E31" s="19"/>
      <c r="F31" s="19"/>
      <c r="G31" s="10"/>
      <c r="H31" s="9"/>
      <c r="I31" s="10"/>
      <c r="J31" s="9"/>
      <c r="K31" s="9"/>
      <c r="L31" s="9">
        <v>25000</v>
      </c>
      <c r="M31" s="9">
        <v>25000</v>
      </c>
      <c r="N31" s="9">
        <v>25000</v>
      </c>
      <c r="O31" s="9">
        <v>46689</v>
      </c>
    </row>
    <row r="32" spans="1:15" s="3" customFormat="1" ht="12.75">
      <c r="A32" s="11"/>
      <c r="B32" s="86"/>
      <c r="C32" s="20" t="s">
        <v>915</v>
      </c>
      <c r="D32" s="25">
        <f aca="true" t="shared" si="1" ref="D32:I32">SUM(D31)</f>
        <v>0</v>
      </c>
      <c r="E32" s="25">
        <f t="shared" si="1"/>
        <v>0</v>
      </c>
      <c r="F32" s="25">
        <f t="shared" si="1"/>
        <v>0</v>
      </c>
      <c r="G32" s="23">
        <f t="shared" si="1"/>
        <v>0</v>
      </c>
      <c r="H32" s="23">
        <f t="shared" si="1"/>
        <v>0</v>
      </c>
      <c r="I32" s="23">
        <f t="shared" si="1"/>
        <v>0</v>
      </c>
      <c r="J32" s="7">
        <f aca="true" t="shared" si="2" ref="J32:O32">SUM(J18:J31)</f>
        <v>3765072.79</v>
      </c>
      <c r="K32" s="7">
        <f t="shared" si="2"/>
        <v>3665428.45</v>
      </c>
      <c r="L32" s="7">
        <f t="shared" si="2"/>
        <v>3986960</v>
      </c>
      <c r="M32" s="7">
        <f t="shared" si="2"/>
        <v>4354417</v>
      </c>
      <c r="N32" s="7">
        <f>SUM(N18:N31)</f>
        <v>4151720</v>
      </c>
      <c r="O32" s="7">
        <f t="shared" si="2"/>
        <v>4521077</v>
      </c>
    </row>
    <row r="33" spans="1:15" s="3" customFormat="1" ht="6" customHeight="1">
      <c r="A33" s="11"/>
      <c r="B33" s="86"/>
      <c r="D33" s="19"/>
      <c r="E33" s="19"/>
      <c r="F33" s="19"/>
      <c r="G33" s="10"/>
      <c r="H33" s="9"/>
      <c r="I33" s="8"/>
      <c r="J33" s="9"/>
      <c r="K33" s="9"/>
      <c r="L33" s="9"/>
      <c r="M33" s="9"/>
      <c r="N33" s="9"/>
      <c r="O33" s="9"/>
    </row>
    <row r="34" spans="1:15" s="3" customFormat="1" ht="12.75" hidden="1">
      <c r="A34" s="11" t="s">
        <v>3208</v>
      </c>
      <c r="B34" s="86"/>
      <c r="C34" s="3" t="s">
        <v>3209</v>
      </c>
      <c r="D34" s="19">
        <v>100000</v>
      </c>
      <c r="E34" s="19">
        <v>100000</v>
      </c>
      <c r="F34" s="19">
        <v>100000</v>
      </c>
      <c r="G34" s="10">
        <v>0</v>
      </c>
      <c r="H34" s="10">
        <v>0</v>
      </c>
      <c r="I34" s="10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1:15" s="3" customFormat="1" ht="12.75" hidden="1">
      <c r="A35" s="11"/>
      <c r="B35" s="86"/>
      <c r="C35" s="20" t="s">
        <v>3210</v>
      </c>
      <c r="D35" s="25">
        <f aca="true" t="shared" si="3" ref="D35:J35">SUM(D34)</f>
        <v>100000</v>
      </c>
      <c r="E35" s="25">
        <f t="shared" si="3"/>
        <v>100000</v>
      </c>
      <c r="F35" s="25">
        <f t="shared" si="3"/>
        <v>100000</v>
      </c>
      <c r="G35" s="23">
        <f t="shared" si="3"/>
        <v>0</v>
      </c>
      <c r="H35" s="23">
        <f t="shared" si="3"/>
        <v>0</v>
      </c>
      <c r="I35" s="23">
        <f t="shared" si="3"/>
        <v>0</v>
      </c>
      <c r="J35" s="7">
        <f t="shared" si="3"/>
        <v>0</v>
      </c>
      <c r="K35" s="7">
        <f>SUM(K34)</f>
        <v>0</v>
      </c>
      <c r="L35" s="7">
        <f>SUM(L34)</f>
        <v>0</v>
      </c>
      <c r="M35" s="7">
        <f>SUM(M34)</f>
        <v>0</v>
      </c>
      <c r="N35" s="7">
        <f>SUM(N34)</f>
        <v>0</v>
      </c>
      <c r="O35" s="7">
        <f>SUM(O34)</f>
        <v>0</v>
      </c>
    </row>
    <row r="36" spans="1:15" s="3" customFormat="1" ht="12.75">
      <c r="A36" s="36"/>
      <c r="B36" s="210" t="s">
        <v>1256</v>
      </c>
      <c r="D36" s="19"/>
      <c r="E36" s="19"/>
      <c r="F36" s="19"/>
      <c r="G36" s="10"/>
      <c r="H36" s="9"/>
      <c r="I36" s="10"/>
      <c r="J36" s="9"/>
      <c r="K36" s="9"/>
      <c r="L36" s="9"/>
      <c r="M36" s="9"/>
      <c r="N36" s="9"/>
      <c r="O36" s="9"/>
    </row>
    <row r="37" spans="1:15" s="3" customFormat="1" ht="12.75">
      <c r="A37" s="36" t="s">
        <v>3225</v>
      </c>
      <c r="B37" s="86" t="s">
        <v>1023</v>
      </c>
      <c r="C37" s="3" t="s">
        <v>3226</v>
      </c>
      <c r="D37" s="19"/>
      <c r="E37" s="19"/>
      <c r="F37" s="19"/>
      <c r="G37" s="10"/>
      <c r="H37" s="9"/>
      <c r="I37" s="10"/>
      <c r="J37" s="9"/>
      <c r="K37" s="32">
        <v>100000</v>
      </c>
      <c r="L37" s="32">
        <v>100000</v>
      </c>
      <c r="M37" s="32">
        <v>120000</v>
      </c>
      <c r="N37" s="32">
        <v>120000</v>
      </c>
      <c r="O37" s="32">
        <v>120000</v>
      </c>
    </row>
    <row r="38" spans="1:15" s="3" customFormat="1" ht="12.75">
      <c r="A38" s="11"/>
      <c r="B38" s="86"/>
      <c r="C38" s="20"/>
      <c r="D38" s="25"/>
      <c r="E38" s="25"/>
      <c r="F38" s="25"/>
      <c r="G38" s="23"/>
      <c r="H38" s="23"/>
      <c r="I38" s="23"/>
      <c r="J38" s="7"/>
      <c r="K38" s="7"/>
      <c r="L38" s="7"/>
      <c r="M38" s="7"/>
      <c r="N38" s="7"/>
      <c r="O38" s="7"/>
    </row>
    <row r="39" spans="1:15" s="3" customFormat="1" ht="15" customHeight="1">
      <c r="A39" s="11"/>
      <c r="B39" s="210" t="s">
        <v>1017</v>
      </c>
      <c r="D39" s="19"/>
      <c r="E39" s="19"/>
      <c r="F39" s="19"/>
      <c r="G39" s="10"/>
      <c r="H39" s="9"/>
      <c r="I39" s="8"/>
      <c r="J39" s="9"/>
      <c r="K39" s="9"/>
      <c r="L39" s="9"/>
      <c r="M39" s="9"/>
      <c r="N39" s="9"/>
      <c r="O39" s="9"/>
    </row>
    <row r="40" spans="1:15" s="3" customFormat="1" ht="12.75">
      <c r="A40" s="11" t="s">
        <v>3211</v>
      </c>
      <c r="B40" s="86" t="s">
        <v>1011</v>
      </c>
      <c r="C40" s="3" t="s">
        <v>3212</v>
      </c>
      <c r="D40" s="19">
        <v>101203</v>
      </c>
      <c r="E40" s="19">
        <v>96313.15</v>
      </c>
      <c r="F40" s="19">
        <v>87468.36</v>
      </c>
      <c r="G40" s="10">
        <v>0</v>
      </c>
      <c r="H40" s="10">
        <v>50890</v>
      </c>
      <c r="I40" s="10">
        <v>174505.04</v>
      </c>
      <c r="J40" s="9">
        <v>62700</v>
      </c>
      <c r="K40" s="9">
        <v>98758.24</v>
      </c>
      <c r="L40" s="9">
        <v>126900</v>
      </c>
      <c r="M40" s="9">
        <v>154200</v>
      </c>
      <c r="N40" s="9">
        <v>154200</v>
      </c>
      <c r="O40" s="9">
        <v>450000</v>
      </c>
    </row>
    <row r="41" spans="1:15" s="3" customFormat="1" ht="12.75">
      <c r="A41" s="11"/>
      <c r="B41" s="210" t="s">
        <v>1014</v>
      </c>
      <c r="D41" s="19"/>
      <c r="E41" s="19"/>
      <c r="F41" s="19"/>
      <c r="G41" s="10"/>
      <c r="H41" s="10"/>
      <c r="I41" s="10"/>
      <c r="J41" s="9"/>
      <c r="K41" s="9"/>
      <c r="L41" s="9"/>
      <c r="M41" s="9"/>
      <c r="N41" s="9"/>
      <c r="O41" s="9"/>
    </row>
    <row r="42" spans="1:15" s="3" customFormat="1" ht="12.75">
      <c r="A42" s="11" t="s">
        <v>1016</v>
      </c>
      <c r="B42" s="86" t="s">
        <v>1015</v>
      </c>
      <c r="C42" s="3" t="s">
        <v>1909</v>
      </c>
      <c r="D42" s="19"/>
      <c r="E42" s="19"/>
      <c r="F42" s="19"/>
      <c r="G42" s="10"/>
      <c r="H42" s="9"/>
      <c r="I42" s="10"/>
      <c r="J42" s="9"/>
      <c r="K42" s="9"/>
      <c r="L42" s="9">
        <v>31000</v>
      </c>
      <c r="M42" s="9">
        <v>19600</v>
      </c>
      <c r="N42" s="9">
        <v>19600</v>
      </c>
      <c r="O42" s="9">
        <v>5500</v>
      </c>
    </row>
    <row r="43" spans="1:15" s="3" customFormat="1" ht="12.75">
      <c r="A43" s="11"/>
      <c r="B43" s="210" t="s">
        <v>1012</v>
      </c>
      <c r="D43" s="19"/>
      <c r="E43" s="19"/>
      <c r="F43" s="19"/>
      <c r="G43" s="10"/>
      <c r="H43" s="9"/>
      <c r="I43" s="10"/>
      <c r="J43" s="9"/>
      <c r="K43" s="9"/>
      <c r="L43" s="9"/>
      <c r="M43" s="9"/>
      <c r="N43" s="9"/>
      <c r="O43" s="9"/>
    </row>
    <row r="44" spans="1:15" s="3" customFormat="1" ht="12.75">
      <c r="A44" s="11" t="s">
        <v>3214</v>
      </c>
      <c r="B44" s="86" t="s">
        <v>1013</v>
      </c>
      <c r="C44" s="3" t="s">
        <v>3215</v>
      </c>
      <c r="D44" s="19"/>
      <c r="E44" s="19"/>
      <c r="F44" s="19"/>
      <c r="G44" s="10"/>
      <c r="H44" s="9"/>
      <c r="I44" s="10"/>
      <c r="J44" s="9">
        <v>189841.8</v>
      </c>
      <c r="K44" s="9">
        <v>1405218.57</v>
      </c>
      <c r="L44" s="9">
        <v>0</v>
      </c>
      <c r="M44" s="9">
        <v>0</v>
      </c>
      <c r="N44" s="9"/>
      <c r="O44" s="9"/>
    </row>
    <row r="45" spans="1:15" s="3" customFormat="1" ht="12.75">
      <c r="A45" s="11"/>
      <c r="B45" s="86"/>
      <c r="C45" s="20" t="s">
        <v>2277</v>
      </c>
      <c r="D45" s="25">
        <f aca="true" t="shared" si="4" ref="D45:I45">SUM(D40:D40)</f>
        <v>101203</v>
      </c>
      <c r="E45" s="25">
        <f t="shared" si="4"/>
        <v>96313.15</v>
      </c>
      <c r="F45" s="25">
        <f t="shared" si="4"/>
        <v>87468.36</v>
      </c>
      <c r="G45" s="23">
        <f t="shared" si="4"/>
        <v>0</v>
      </c>
      <c r="H45" s="23">
        <f t="shared" si="4"/>
        <v>50890</v>
      </c>
      <c r="I45" s="23">
        <f t="shared" si="4"/>
        <v>174505.04</v>
      </c>
      <c r="J45" s="7">
        <f aca="true" t="shared" si="5" ref="J45:O45">SUM(J40:J44)</f>
        <v>252541.8</v>
      </c>
      <c r="K45" s="7">
        <f t="shared" si="5"/>
        <v>1503976.81</v>
      </c>
      <c r="L45" s="7">
        <f t="shared" si="5"/>
        <v>157900</v>
      </c>
      <c r="M45" s="7">
        <f t="shared" si="5"/>
        <v>173800</v>
      </c>
      <c r="N45" s="7">
        <f>SUM(N40:N44)</f>
        <v>173800</v>
      </c>
      <c r="O45" s="7">
        <f t="shared" si="5"/>
        <v>455500</v>
      </c>
    </row>
    <row r="46" spans="1:15" s="3" customFormat="1" ht="12.75">
      <c r="A46" s="11"/>
      <c r="B46" s="86"/>
      <c r="D46" s="19"/>
      <c r="E46" s="19"/>
      <c r="F46" s="19"/>
      <c r="G46" s="10"/>
      <c r="H46" s="9"/>
      <c r="I46" s="8"/>
      <c r="J46" s="9"/>
      <c r="K46" s="9"/>
      <c r="L46" s="9"/>
      <c r="M46" s="9"/>
      <c r="N46" s="9"/>
      <c r="O46" s="9"/>
    </row>
    <row r="47" spans="1:15" s="3" customFormat="1" ht="12.75">
      <c r="A47" s="11"/>
      <c r="B47" s="86"/>
      <c r="C47" s="30" t="s">
        <v>3216</v>
      </c>
      <c r="D47" s="31">
        <f aca="true" t="shared" si="6" ref="D47:I47">SUM(D6:D45)/2</f>
        <v>2271009.5</v>
      </c>
      <c r="E47" s="31">
        <f t="shared" si="6"/>
        <v>2289014.245</v>
      </c>
      <c r="F47" s="31">
        <f t="shared" si="6"/>
        <v>2649464.7150000003</v>
      </c>
      <c r="G47" s="28">
        <f t="shared" si="6"/>
        <v>2366485.27</v>
      </c>
      <c r="H47" s="28">
        <f t="shared" si="6"/>
        <v>2520696.95</v>
      </c>
      <c r="I47" s="28">
        <f t="shared" si="6"/>
        <v>2714471.505</v>
      </c>
      <c r="J47" s="32">
        <f aca="true" t="shared" si="7" ref="J47:O47">SUM(J16+J32+J45+J37)</f>
        <v>4650901.7299999995</v>
      </c>
      <c r="K47" s="32">
        <f t="shared" si="7"/>
        <v>5894658.6899999995</v>
      </c>
      <c r="L47" s="32">
        <f t="shared" si="7"/>
        <v>4955018</v>
      </c>
      <c r="M47" s="32">
        <f t="shared" si="7"/>
        <v>5381429</v>
      </c>
      <c r="N47" s="32">
        <f t="shared" si="7"/>
        <v>5173398</v>
      </c>
      <c r="O47" s="32">
        <f t="shared" si="7"/>
        <v>5848649</v>
      </c>
    </row>
    <row r="48" spans="1:15" s="3" customFormat="1" ht="11.25" customHeight="1">
      <c r="A48" s="11"/>
      <c r="B48" s="86"/>
      <c r="C48" s="30"/>
      <c r="D48" s="31"/>
      <c r="E48" s="31"/>
      <c r="F48" s="31"/>
      <c r="G48" s="28"/>
      <c r="H48" s="28"/>
      <c r="I48" s="28"/>
      <c r="J48" s="32"/>
      <c r="K48" s="32"/>
      <c r="L48" s="32"/>
      <c r="M48" s="32"/>
      <c r="N48" s="32"/>
      <c r="O48" s="32"/>
    </row>
    <row r="49" spans="1:15" s="3" customFormat="1" ht="14.25" hidden="1">
      <c r="A49" s="122" t="s">
        <v>2241</v>
      </c>
      <c r="B49" s="206"/>
      <c r="C49" s="34" t="s">
        <v>3217</v>
      </c>
      <c r="D49" s="31"/>
      <c r="E49" s="31"/>
      <c r="F49" s="31"/>
      <c r="G49" s="28"/>
      <c r="H49" s="10"/>
      <c r="I49" s="8"/>
      <c r="J49" s="9"/>
      <c r="K49" s="9"/>
      <c r="L49" s="9"/>
      <c r="M49" s="9"/>
      <c r="N49" s="9"/>
      <c r="O49" s="9"/>
    </row>
    <row r="50" spans="1:15" s="3" customFormat="1" ht="14.25" hidden="1">
      <c r="A50" s="52" t="s">
        <v>2923</v>
      </c>
      <c r="B50" s="207"/>
      <c r="C50" s="34" t="s">
        <v>3218</v>
      </c>
      <c r="D50" s="31"/>
      <c r="E50" s="31"/>
      <c r="F50" s="31"/>
      <c r="G50" s="28"/>
      <c r="H50" s="9"/>
      <c r="I50" s="8"/>
      <c r="J50" s="9"/>
      <c r="K50" s="9"/>
      <c r="L50" s="9"/>
      <c r="M50" s="9"/>
      <c r="N50" s="9"/>
      <c r="O50" s="9"/>
    </row>
    <row r="51" spans="1:15" s="3" customFormat="1" ht="12.75" hidden="1">
      <c r="A51" s="11"/>
      <c r="B51" s="86"/>
      <c r="C51" s="34"/>
      <c r="D51" s="19"/>
      <c r="E51" s="19"/>
      <c r="F51" s="19"/>
      <c r="G51" s="10"/>
      <c r="H51" s="9"/>
      <c r="I51" s="8"/>
      <c r="J51" s="9"/>
      <c r="K51" s="9"/>
      <c r="L51" s="9"/>
      <c r="M51" s="9"/>
      <c r="N51" s="9"/>
      <c r="O51" s="9"/>
    </row>
    <row r="52" spans="1:15" s="3" customFormat="1" ht="12.75">
      <c r="A52" s="11"/>
      <c r="B52" s="86"/>
      <c r="D52" s="19"/>
      <c r="E52" s="19"/>
      <c r="F52" s="19"/>
      <c r="G52" s="10"/>
      <c r="H52" s="9"/>
      <c r="I52" s="8"/>
      <c r="J52" s="9"/>
      <c r="K52" s="9"/>
      <c r="L52" s="9"/>
      <c r="M52" s="9"/>
      <c r="N52" s="9"/>
      <c r="O52" s="9"/>
    </row>
    <row r="53" spans="1:15" s="3" customFormat="1" ht="14.25" hidden="1">
      <c r="A53" s="122" t="s">
        <v>2241</v>
      </c>
      <c r="B53" s="206"/>
      <c r="C53" s="34" t="s">
        <v>3227</v>
      </c>
      <c r="D53" s="31"/>
      <c r="E53" s="31"/>
      <c r="F53" s="31"/>
      <c r="G53" s="28"/>
      <c r="H53" s="9"/>
      <c r="I53" s="8"/>
      <c r="J53" s="9"/>
      <c r="K53" s="9"/>
      <c r="L53" s="9"/>
      <c r="M53" s="9"/>
      <c r="N53" s="9"/>
      <c r="O53" s="9"/>
    </row>
    <row r="54" spans="1:15" s="3" customFormat="1" ht="12.75">
      <c r="A54" s="11"/>
      <c r="B54" s="210" t="s">
        <v>1024</v>
      </c>
      <c r="C54" s="2" t="s">
        <v>3228</v>
      </c>
      <c r="D54" s="19"/>
      <c r="E54" s="19"/>
      <c r="F54" s="19"/>
      <c r="G54" s="10"/>
      <c r="H54" s="9"/>
      <c r="I54" s="8"/>
      <c r="J54" s="9"/>
      <c r="K54" s="9"/>
      <c r="L54" s="9"/>
      <c r="M54" s="9"/>
      <c r="N54" s="9"/>
      <c r="O54" s="9"/>
    </row>
    <row r="55" spans="1:15" s="3" customFormat="1" ht="12.75">
      <c r="A55" s="11" t="s">
        <v>3229</v>
      </c>
      <c r="B55" s="86" t="s">
        <v>987</v>
      </c>
      <c r="C55" s="3" t="s">
        <v>617</v>
      </c>
      <c r="D55" s="19">
        <v>115119</v>
      </c>
      <c r="E55" s="19">
        <v>115767.11</v>
      </c>
      <c r="F55" s="19">
        <v>121752.41</v>
      </c>
      <c r="G55" s="10">
        <v>134852.88</v>
      </c>
      <c r="H55" s="9">
        <v>136922.54</v>
      </c>
      <c r="I55" s="10">
        <v>121461.93</v>
      </c>
      <c r="J55" s="9">
        <v>142523.8</v>
      </c>
      <c r="K55" s="9">
        <v>139477.33</v>
      </c>
      <c r="L55" s="9">
        <v>157877</v>
      </c>
      <c r="M55" s="9">
        <v>151242</v>
      </c>
      <c r="N55" s="9">
        <v>143242</v>
      </c>
      <c r="O55" s="9">
        <v>151242</v>
      </c>
    </row>
    <row r="56" spans="1:15" s="3" customFormat="1" ht="12.75">
      <c r="A56" s="11" t="s">
        <v>3230</v>
      </c>
      <c r="B56" s="86" t="s">
        <v>991</v>
      </c>
      <c r="C56" s="3" t="s">
        <v>2288</v>
      </c>
      <c r="D56" s="19">
        <v>900</v>
      </c>
      <c r="E56" s="19">
        <v>975</v>
      </c>
      <c r="F56" s="19">
        <v>1162.5</v>
      </c>
      <c r="G56" s="10">
        <v>1350</v>
      </c>
      <c r="H56" s="9">
        <v>1075</v>
      </c>
      <c r="I56" s="10">
        <v>827.08</v>
      </c>
      <c r="J56" s="9">
        <v>650</v>
      </c>
      <c r="K56" s="9">
        <v>908.33</v>
      </c>
      <c r="L56" s="9">
        <v>913</v>
      </c>
      <c r="M56" s="9">
        <v>500</v>
      </c>
      <c r="N56" s="9">
        <v>500</v>
      </c>
      <c r="O56" s="9">
        <v>650</v>
      </c>
    </row>
    <row r="57" spans="1:15" s="3" customFormat="1" ht="12.75">
      <c r="A57" s="11" t="s">
        <v>3233</v>
      </c>
      <c r="B57" s="86" t="s">
        <v>995</v>
      </c>
      <c r="C57" s="3" t="s">
        <v>2222</v>
      </c>
      <c r="D57" s="19">
        <v>12573</v>
      </c>
      <c r="E57" s="19">
        <v>0</v>
      </c>
      <c r="F57" s="19">
        <v>0</v>
      </c>
      <c r="G57" s="10">
        <v>0</v>
      </c>
      <c r="H57" s="9">
        <v>0</v>
      </c>
      <c r="I57" s="10">
        <v>0</v>
      </c>
      <c r="J57" s="9">
        <v>11201</v>
      </c>
      <c r="K57" s="9">
        <v>12050</v>
      </c>
      <c r="L57" s="9">
        <v>13556</v>
      </c>
      <c r="M57" s="9">
        <v>0</v>
      </c>
      <c r="N57" s="9">
        <v>0</v>
      </c>
      <c r="O57" s="9">
        <v>0</v>
      </c>
    </row>
    <row r="58" spans="1:15" s="3" customFormat="1" ht="12.75">
      <c r="A58" s="11" t="s">
        <v>3231</v>
      </c>
      <c r="B58" s="86" t="s">
        <v>993</v>
      </c>
      <c r="C58" s="3" t="s">
        <v>2216</v>
      </c>
      <c r="D58" s="19">
        <v>10519</v>
      </c>
      <c r="E58" s="19">
        <v>7889</v>
      </c>
      <c r="F58" s="19">
        <v>7889</v>
      </c>
      <c r="G58" s="10">
        <v>7889</v>
      </c>
      <c r="H58" s="9">
        <v>7889</v>
      </c>
      <c r="I58" s="10">
        <v>7889</v>
      </c>
      <c r="J58" s="9">
        <v>7889</v>
      </c>
      <c r="K58" s="9">
        <v>6080</v>
      </c>
      <c r="L58" s="9">
        <v>7035</v>
      </c>
      <c r="M58" s="9">
        <v>6396</v>
      </c>
      <c r="N58" s="9">
        <v>6396</v>
      </c>
      <c r="O58" s="9">
        <v>6716</v>
      </c>
    </row>
    <row r="59" spans="1:15" s="3" customFormat="1" ht="12.75">
      <c r="A59" s="11" t="s">
        <v>3234</v>
      </c>
      <c r="B59" s="86" t="s">
        <v>996</v>
      </c>
      <c r="C59" s="3" t="s">
        <v>2298</v>
      </c>
      <c r="D59" s="19">
        <v>822</v>
      </c>
      <c r="E59" s="19">
        <v>843</v>
      </c>
      <c r="F59" s="19">
        <v>905</v>
      </c>
      <c r="G59" s="10">
        <v>830</v>
      </c>
      <c r="H59" s="9">
        <v>420</v>
      </c>
      <c r="I59" s="10">
        <v>340</v>
      </c>
      <c r="J59" s="9">
        <v>420</v>
      </c>
      <c r="K59" s="9">
        <v>1480</v>
      </c>
      <c r="L59" s="9">
        <v>724</v>
      </c>
      <c r="M59" s="9">
        <v>724</v>
      </c>
      <c r="N59" s="9">
        <v>724</v>
      </c>
      <c r="O59" s="9">
        <v>833</v>
      </c>
    </row>
    <row r="60" spans="1:15" s="3" customFormat="1" ht="14.25" customHeight="1">
      <c r="A60" s="11" t="s">
        <v>3232</v>
      </c>
      <c r="B60" s="86" t="s">
        <v>994</v>
      </c>
      <c r="C60" s="3" t="s">
        <v>2219</v>
      </c>
      <c r="D60" s="19">
        <v>72</v>
      </c>
      <c r="E60" s="19">
        <v>72</v>
      </c>
      <c r="F60" s="19">
        <v>72</v>
      </c>
      <c r="G60" s="10">
        <v>0</v>
      </c>
      <c r="H60" s="9">
        <v>72</v>
      </c>
      <c r="I60" s="10">
        <v>72</v>
      </c>
      <c r="J60" s="9">
        <v>72</v>
      </c>
      <c r="K60" s="9">
        <v>72</v>
      </c>
      <c r="L60" s="9">
        <v>72</v>
      </c>
      <c r="M60" s="9">
        <v>72</v>
      </c>
      <c r="N60" s="9">
        <v>72</v>
      </c>
      <c r="O60" s="9">
        <v>0</v>
      </c>
    </row>
    <row r="61" spans="1:15" s="3" customFormat="1" ht="12.75">
      <c r="A61" s="11"/>
      <c r="B61" s="86"/>
      <c r="C61" s="20" t="s">
        <v>2187</v>
      </c>
      <c r="D61" s="21">
        <f aca="true" t="shared" si="8" ref="D61:L61">SUM(D55:D60)</f>
        <v>140005</v>
      </c>
      <c r="E61" s="21">
        <f t="shared" si="8"/>
        <v>125546.11</v>
      </c>
      <c r="F61" s="21">
        <f t="shared" si="8"/>
        <v>131780.91</v>
      </c>
      <c r="G61" s="22">
        <f t="shared" si="8"/>
        <v>144921.88</v>
      </c>
      <c r="H61" s="23">
        <f t="shared" si="8"/>
        <v>146378.54</v>
      </c>
      <c r="I61" s="23">
        <f t="shared" si="8"/>
        <v>130590.01</v>
      </c>
      <c r="J61" s="7">
        <f t="shared" si="8"/>
        <v>162755.8</v>
      </c>
      <c r="K61" s="7">
        <f t="shared" si="8"/>
        <v>160067.65999999997</v>
      </c>
      <c r="L61" s="7">
        <f t="shared" si="8"/>
        <v>180177</v>
      </c>
      <c r="M61" s="7">
        <f>SUM(M55:M60)</f>
        <v>158934</v>
      </c>
      <c r="N61" s="7">
        <f>SUM(N55:N60)</f>
        <v>150934</v>
      </c>
      <c r="O61" s="7">
        <f>SUM(O55:O60)</f>
        <v>159441</v>
      </c>
    </row>
    <row r="62" spans="1:15" s="3" customFormat="1" ht="11.25" customHeight="1">
      <c r="A62" s="11"/>
      <c r="B62" s="210" t="s">
        <v>1019</v>
      </c>
      <c r="D62" s="19"/>
      <c r="E62" s="19"/>
      <c r="F62" s="19"/>
      <c r="G62" s="10"/>
      <c r="H62" s="9"/>
      <c r="I62" s="8"/>
      <c r="J62" s="9"/>
      <c r="K62" s="9"/>
      <c r="L62" s="9"/>
      <c r="M62" s="9"/>
      <c r="N62" s="9"/>
      <c r="O62" s="9"/>
    </row>
    <row r="63" spans="1:15" s="3" customFormat="1" ht="12.75">
      <c r="A63" s="11" t="s">
        <v>3237</v>
      </c>
      <c r="B63" s="86" t="s">
        <v>1005</v>
      </c>
      <c r="C63" s="3" t="s">
        <v>3238</v>
      </c>
      <c r="D63" s="19">
        <v>7120</v>
      </c>
      <c r="E63" s="19">
        <v>5045</v>
      </c>
      <c r="F63" s="19">
        <v>2460</v>
      </c>
      <c r="G63" s="10">
        <v>5780</v>
      </c>
      <c r="H63" s="9">
        <v>7347.5</v>
      </c>
      <c r="I63" s="10">
        <v>5766.17</v>
      </c>
      <c r="J63" s="9">
        <v>1597.5</v>
      </c>
      <c r="K63" s="9">
        <v>3864.5</v>
      </c>
      <c r="L63" s="9">
        <v>8040</v>
      </c>
      <c r="M63" s="9">
        <v>8040</v>
      </c>
      <c r="N63" s="9">
        <v>11390</v>
      </c>
      <c r="O63" s="9">
        <v>11390</v>
      </c>
    </row>
    <row r="64" spans="1:15" s="3" customFormat="1" ht="12.75">
      <c r="A64" s="11" t="s">
        <v>3239</v>
      </c>
      <c r="B64" s="86" t="s">
        <v>1004</v>
      </c>
      <c r="C64" s="3" t="s">
        <v>3240</v>
      </c>
      <c r="D64" s="19">
        <v>2828</v>
      </c>
      <c r="E64" s="19">
        <v>7509.13</v>
      </c>
      <c r="F64" s="19">
        <v>3550</v>
      </c>
      <c r="G64" s="10">
        <v>7450</v>
      </c>
      <c r="H64" s="9">
        <v>7231</v>
      </c>
      <c r="I64" s="10">
        <v>7443.22</v>
      </c>
      <c r="J64" s="9">
        <v>7161.13</v>
      </c>
      <c r="K64" s="9">
        <v>7362</v>
      </c>
      <c r="L64" s="9">
        <v>7750</v>
      </c>
      <c r="M64" s="9">
        <v>11390</v>
      </c>
      <c r="N64" s="9">
        <v>8040</v>
      </c>
      <c r="O64" s="9">
        <v>8281</v>
      </c>
    </row>
    <row r="65" spans="1:15" s="3" customFormat="1" ht="12.75">
      <c r="A65" s="11" t="s">
        <v>3235</v>
      </c>
      <c r="B65" s="86" t="s">
        <v>1001</v>
      </c>
      <c r="C65" s="3" t="s">
        <v>3236</v>
      </c>
      <c r="D65" s="19">
        <v>9524</v>
      </c>
      <c r="E65" s="19">
        <v>10323.35</v>
      </c>
      <c r="F65" s="19"/>
      <c r="G65" s="10">
        <v>23144.8</v>
      </c>
      <c r="H65" s="10">
        <v>20375.17</v>
      </c>
      <c r="I65" s="10">
        <v>35538.99</v>
      </c>
      <c r="J65" s="9">
        <v>25000</v>
      </c>
      <c r="K65" s="9">
        <v>23482.8</v>
      </c>
      <c r="L65" s="9">
        <v>27563</v>
      </c>
      <c r="M65" s="9">
        <v>28940</v>
      </c>
      <c r="N65" s="9">
        <v>28940</v>
      </c>
      <c r="O65" s="9">
        <v>29300</v>
      </c>
    </row>
    <row r="66" spans="1:15" s="3" customFormat="1" ht="12.75">
      <c r="A66" s="11" t="s">
        <v>3241</v>
      </c>
      <c r="B66" s="86" t="s">
        <v>1008</v>
      </c>
      <c r="C66" s="3" t="s">
        <v>3242</v>
      </c>
      <c r="D66" s="19">
        <v>7006</v>
      </c>
      <c r="E66" s="19">
        <v>16698.41</v>
      </c>
      <c r="F66" s="19">
        <v>11133.52</v>
      </c>
      <c r="G66" s="10">
        <v>13955.58</v>
      </c>
      <c r="H66" s="10">
        <v>13162.02</v>
      </c>
      <c r="I66" s="10">
        <v>13925.74</v>
      </c>
      <c r="J66" s="9">
        <v>19916.95</v>
      </c>
      <c r="K66" s="9">
        <v>14411.58</v>
      </c>
      <c r="L66" s="9">
        <v>14780</v>
      </c>
      <c r="M66" s="9">
        <v>15220</v>
      </c>
      <c r="N66" s="9">
        <v>15220</v>
      </c>
      <c r="O66" s="9">
        <v>15676</v>
      </c>
    </row>
    <row r="67" spans="1:15" s="3" customFormat="1" ht="12.75">
      <c r="A67" s="11"/>
      <c r="B67" s="86"/>
      <c r="C67" s="20" t="s">
        <v>915</v>
      </c>
      <c r="D67" s="25" t="e">
        <f>SUM(#REF!)</f>
        <v>#REF!</v>
      </c>
      <c r="E67" s="25" t="e">
        <f>SUM(#REF!)</f>
        <v>#REF!</v>
      </c>
      <c r="F67" s="25" t="e">
        <f>SUM(#REF!)</f>
        <v>#REF!</v>
      </c>
      <c r="G67" s="23" t="e">
        <f>SUM(#REF!)</f>
        <v>#REF!</v>
      </c>
      <c r="H67" s="23" t="e">
        <f>SUM(#REF!)</f>
        <v>#REF!</v>
      </c>
      <c r="I67" s="23" t="e">
        <f>SUM(#REF!)</f>
        <v>#REF!</v>
      </c>
      <c r="J67" s="7">
        <f aca="true" t="shared" si="9" ref="J67:O67">SUM(J63:J66)</f>
        <v>53675.58</v>
      </c>
      <c r="K67" s="7">
        <f t="shared" si="9"/>
        <v>49120.880000000005</v>
      </c>
      <c r="L67" s="7">
        <f t="shared" si="9"/>
        <v>58133</v>
      </c>
      <c r="M67" s="7">
        <f t="shared" si="9"/>
        <v>63590</v>
      </c>
      <c r="N67" s="7">
        <f t="shared" si="9"/>
        <v>63590</v>
      </c>
      <c r="O67" s="7">
        <f t="shared" si="9"/>
        <v>64647</v>
      </c>
    </row>
    <row r="68" spans="1:15" s="3" customFormat="1" ht="12.75">
      <c r="A68" s="11"/>
      <c r="B68" s="86"/>
      <c r="D68" s="19"/>
      <c r="E68" s="19"/>
      <c r="F68" s="19"/>
      <c r="G68" s="10"/>
      <c r="H68" s="9"/>
      <c r="I68" s="8"/>
      <c r="J68" s="9"/>
      <c r="K68" s="9"/>
      <c r="L68" s="9"/>
      <c r="M68" s="9"/>
      <c r="N68" s="9"/>
      <c r="O68" s="9"/>
    </row>
    <row r="69" spans="1:15" s="3" customFormat="1" ht="12.75">
      <c r="A69" s="11"/>
      <c r="B69" s="86"/>
      <c r="C69" s="2" t="s">
        <v>3243</v>
      </c>
      <c r="D69" s="31" t="e">
        <f aca="true" t="shared" si="10" ref="D69:J69">SUM(D55:D67)/2</f>
        <v>#REF!</v>
      </c>
      <c r="E69" s="31" t="e">
        <f t="shared" si="10"/>
        <v>#REF!</v>
      </c>
      <c r="F69" s="31" t="e">
        <f t="shared" si="10"/>
        <v>#REF!</v>
      </c>
      <c r="G69" s="28" t="e">
        <f t="shared" si="10"/>
        <v>#REF!</v>
      </c>
      <c r="H69" s="28" t="e">
        <f t="shared" si="10"/>
        <v>#REF!</v>
      </c>
      <c r="I69" s="28" t="e">
        <f t="shared" si="10"/>
        <v>#REF!</v>
      </c>
      <c r="J69" s="32">
        <f t="shared" si="10"/>
        <v>216431.38</v>
      </c>
      <c r="K69" s="32">
        <f>SUM(K61+K67)</f>
        <v>209188.53999999998</v>
      </c>
      <c r="L69" s="32">
        <f>SUM(L61+L67)</f>
        <v>238310</v>
      </c>
      <c r="M69" s="32">
        <f>SUM(M61+M67)</f>
        <v>222524</v>
      </c>
      <c r="N69" s="32">
        <f>SUM(N61+N67)</f>
        <v>214524</v>
      </c>
      <c r="O69" s="32">
        <f>SUM(O61+O67)</f>
        <v>224088</v>
      </c>
    </row>
    <row r="70" spans="1:15" s="3" customFormat="1" ht="12.75">
      <c r="A70" s="11"/>
      <c r="B70" s="86"/>
      <c r="C70" s="2"/>
      <c r="D70" s="31"/>
      <c r="E70" s="31"/>
      <c r="F70" s="31"/>
      <c r="G70" s="28"/>
      <c r="H70" s="28"/>
      <c r="I70" s="28"/>
      <c r="J70" s="32"/>
      <c r="K70" s="32"/>
      <c r="L70" s="32"/>
      <c r="M70" s="32"/>
      <c r="N70" s="32"/>
      <c r="O70" s="32"/>
    </row>
    <row r="71" spans="1:15" s="3" customFormat="1" ht="12.75">
      <c r="A71" s="11"/>
      <c r="B71" s="86"/>
      <c r="C71" s="2" t="s">
        <v>0</v>
      </c>
      <c r="D71" s="31"/>
      <c r="E71" s="31"/>
      <c r="F71" s="31"/>
      <c r="G71" s="28"/>
      <c r="H71" s="28" t="e">
        <f>SUM(H69+#REF!+H47)</f>
        <v>#REF!</v>
      </c>
      <c r="I71" s="28" t="e">
        <f>SUM(I69+#REF!+I47)</f>
        <v>#REF!</v>
      </c>
      <c r="J71" s="28">
        <f aca="true" t="shared" si="11" ref="J71:O71">SUM(J69+J47)</f>
        <v>4867333.109999999</v>
      </c>
      <c r="K71" s="28">
        <f t="shared" si="11"/>
        <v>6103847.2299999995</v>
      </c>
      <c r="L71" s="28">
        <f t="shared" si="11"/>
        <v>5193328</v>
      </c>
      <c r="M71" s="28">
        <f t="shared" si="11"/>
        <v>5603953</v>
      </c>
      <c r="N71" s="28">
        <f t="shared" si="11"/>
        <v>5387922</v>
      </c>
      <c r="O71" s="28">
        <f t="shared" si="11"/>
        <v>6072737</v>
      </c>
    </row>
    <row r="75" spans="1:15" s="3" customFormat="1" ht="12.75">
      <c r="A75" s="123" t="s">
        <v>76</v>
      </c>
      <c r="B75" s="208"/>
      <c r="C75" s="124" t="s">
        <v>77</v>
      </c>
      <c r="D75" s="125" t="e">
        <f>#REF!</f>
        <v>#REF!</v>
      </c>
      <c r="E75" s="125" t="e">
        <f>#REF!</f>
        <v>#REF!</v>
      </c>
      <c r="F75" s="125" t="e">
        <f>#REF!</f>
        <v>#REF!</v>
      </c>
      <c r="G75" s="126" t="e">
        <f>#REF!</f>
        <v>#REF!</v>
      </c>
      <c r="H75" s="126" t="e">
        <f>#REF!</f>
        <v>#REF!</v>
      </c>
      <c r="I75" s="126">
        <f>I47</f>
        <v>2714471.505</v>
      </c>
      <c r="J75" s="126">
        <f aca="true" t="shared" si="12" ref="J75:O75">J47-J76-J77</f>
        <v>1120420.3299999996</v>
      </c>
      <c r="K75" s="126">
        <f t="shared" si="12"/>
        <v>2331325.7799999993</v>
      </c>
      <c r="L75" s="126">
        <f t="shared" si="12"/>
        <v>1298808</v>
      </c>
      <c r="M75" s="126">
        <f t="shared" si="12"/>
        <v>1352236</v>
      </c>
      <c r="N75" s="126">
        <f t="shared" si="12"/>
        <v>1347777</v>
      </c>
      <c r="O75" s="126">
        <f t="shared" si="12"/>
        <v>1663579</v>
      </c>
    </row>
    <row r="76" spans="1:15" s="3" customFormat="1" ht="12.75">
      <c r="A76" s="123" t="s">
        <v>76</v>
      </c>
      <c r="B76" s="208"/>
      <c r="C76" s="124" t="s">
        <v>78</v>
      </c>
      <c r="D76" s="125" t="e">
        <f>#REF!</f>
        <v>#REF!</v>
      </c>
      <c r="E76" s="125" t="e">
        <f>#REF!</f>
        <v>#REF!</v>
      </c>
      <c r="F76" s="125" t="e">
        <f>#REF!</f>
        <v>#REF!</v>
      </c>
      <c r="G76" s="126" t="e">
        <f>#REF!</f>
        <v>#REF!</v>
      </c>
      <c r="H76" s="126" t="e">
        <f>#REF!</f>
        <v>#REF!</v>
      </c>
      <c r="I76" s="126" t="e">
        <f>#REF!</f>
        <v>#REF!</v>
      </c>
      <c r="J76" s="126">
        <f aca="true" t="shared" si="13" ref="J76:O76">SUM(J29)</f>
        <v>3530481.4</v>
      </c>
      <c r="K76" s="126">
        <f t="shared" si="13"/>
        <v>3463332.91</v>
      </c>
      <c r="L76" s="126">
        <f t="shared" si="13"/>
        <v>3556210</v>
      </c>
      <c r="M76" s="126">
        <f t="shared" si="13"/>
        <v>3909193</v>
      </c>
      <c r="N76" s="126">
        <f t="shared" si="13"/>
        <v>3705621</v>
      </c>
      <c r="O76" s="126">
        <f t="shared" si="13"/>
        <v>4065070</v>
      </c>
    </row>
    <row r="77" spans="1:15" s="3" customFormat="1" ht="12.75">
      <c r="A77" s="127">
        <v>315</v>
      </c>
      <c r="B77" s="208"/>
      <c r="C77" s="124" t="s">
        <v>1025</v>
      </c>
      <c r="D77" s="125"/>
      <c r="E77" s="125"/>
      <c r="F77" s="125"/>
      <c r="G77" s="126"/>
      <c r="H77" s="126"/>
      <c r="I77" s="126" t="e">
        <f>SUM(#REF!)</f>
        <v>#REF!</v>
      </c>
      <c r="J77" s="126">
        <f aca="true" t="shared" si="14" ref="J77:O77">SUM(J37)</f>
        <v>0</v>
      </c>
      <c r="K77" s="126">
        <f t="shared" si="14"/>
        <v>100000</v>
      </c>
      <c r="L77" s="126">
        <f t="shared" si="14"/>
        <v>100000</v>
      </c>
      <c r="M77" s="126">
        <f t="shared" si="14"/>
        <v>120000</v>
      </c>
      <c r="N77" s="126">
        <f t="shared" si="14"/>
        <v>120000</v>
      </c>
      <c r="O77" s="126">
        <f t="shared" si="14"/>
        <v>120000</v>
      </c>
    </row>
    <row r="78" spans="1:15" s="3" customFormat="1" ht="12.75">
      <c r="A78" s="123" t="s">
        <v>79</v>
      </c>
      <c r="B78" s="208"/>
      <c r="C78" s="124" t="s">
        <v>113</v>
      </c>
      <c r="D78" s="125" t="e">
        <f>#REF!</f>
        <v>#REF!</v>
      </c>
      <c r="E78" s="125" t="e">
        <f>#REF!</f>
        <v>#REF!</v>
      </c>
      <c r="F78" s="125" t="e">
        <f>#REF!</f>
        <v>#REF!</v>
      </c>
      <c r="G78" s="126" t="e">
        <f>#REF!</f>
        <v>#REF!</v>
      </c>
      <c r="H78" s="126" t="e">
        <f>#REF!</f>
        <v>#REF!</v>
      </c>
      <c r="I78" s="126" t="e">
        <f aca="true" t="shared" si="15" ref="I78:O78">I69</f>
        <v>#REF!</v>
      </c>
      <c r="J78" s="126">
        <f t="shared" si="15"/>
        <v>216431.38</v>
      </c>
      <c r="K78" s="126">
        <f t="shared" si="15"/>
        <v>209188.53999999998</v>
      </c>
      <c r="L78" s="126">
        <f t="shared" si="15"/>
        <v>238310</v>
      </c>
      <c r="M78" s="126">
        <f t="shared" si="15"/>
        <v>222524</v>
      </c>
      <c r="N78" s="126">
        <f>N69</f>
        <v>214524</v>
      </c>
      <c r="O78" s="126">
        <f t="shared" si="15"/>
        <v>224088</v>
      </c>
    </row>
    <row r="79" spans="1:15" ht="12.75">
      <c r="A79" s="128"/>
      <c r="B79" s="209"/>
      <c r="C79" s="128"/>
      <c r="D79" s="128"/>
      <c r="E79" s="128"/>
      <c r="F79" s="128"/>
      <c r="G79" s="128"/>
      <c r="H79" s="128"/>
      <c r="I79" s="128"/>
      <c r="J79" s="128"/>
      <c r="K79" s="128"/>
      <c r="L79" s="191"/>
      <c r="M79" s="128"/>
      <c r="N79" s="128"/>
      <c r="O79" s="128"/>
    </row>
    <row r="80" spans="2:15" s="130" customFormat="1" ht="12.75">
      <c r="B80" s="143"/>
      <c r="C80" s="129" t="s">
        <v>0</v>
      </c>
      <c r="I80" s="131" t="e">
        <f aca="true" t="shared" si="16" ref="I80:O80">SUM(I75:I79)</f>
        <v>#REF!</v>
      </c>
      <c r="J80" s="131">
        <f t="shared" si="16"/>
        <v>4867333.109999999</v>
      </c>
      <c r="K80" s="131">
        <f t="shared" si="16"/>
        <v>6103847.2299999995</v>
      </c>
      <c r="L80" s="192">
        <f t="shared" si="16"/>
        <v>5193328</v>
      </c>
      <c r="M80" s="131">
        <f t="shared" si="16"/>
        <v>5603953</v>
      </c>
      <c r="N80" s="131">
        <f t="shared" si="16"/>
        <v>5387922</v>
      </c>
      <c r="O80" s="131">
        <f t="shared" si="16"/>
        <v>6072737</v>
      </c>
    </row>
  </sheetData>
  <printOptions/>
  <pageMargins left="0.75" right="0.75" top="1" bottom="1" header="0.5" footer="0.5"/>
  <pageSetup horizontalDpi="600" verticalDpi="600" orientation="landscape" scale="79" r:id="rId1"/>
  <headerFooter alignWithMargins="0">
    <oddHeader>&amp;C&amp;"Arial,Bold"&amp;11TOWN OF BELMONT
FY2008
 SEWER ENTERPRISE BUDGET</oddHeader>
    <oddFooter>&amp;L&amp;A&amp;C&amp;P of &amp;N&amp;R&amp;D</oddFooter>
  </headerFooter>
  <rowBreaks count="1" manualBreakCount="1">
    <brk id="4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F1" sqref="F1:F16384"/>
    </sheetView>
  </sheetViews>
  <sheetFormatPr defaultColWidth="9.140625" defaultRowHeight="12.75"/>
  <cols>
    <col min="1" max="1" width="27.28125" style="0" bestFit="1" customWidth="1"/>
    <col min="2" max="5" width="0" style="0" hidden="1" customWidth="1"/>
    <col min="6" max="6" width="11.421875" style="0" hidden="1" customWidth="1"/>
    <col min="7" max="9" width="11.421875" style="0" bestFit="1" customWidth="1"/>
    <col min="10" max="10" width="11.421875" style="193" bestFit="1" customWidth="1"/>
    <col min="11" max="11" width="9.28125" style="0" bestFit="1" customWidth="1"/>
    <col min="12" max="12" width="11.28125" style="0" customWidth="1"/>
  </cols>
  <sheetData>
    <row r="2" spans="1:12" s="3" customFormat="1" ht="12.75">
      <c r="A2" s="2" t="s">
        <v>2180</v>
      </c>
      <c r="B2" s="17" t="s">
        <v>2170</v>
      </c>
      <c r="C2" s="17" t="s">
        <v>2172</v>
      </c>
      <c r="D2" s="17" t="s">
        <v>2173</v>
      </c>
      <c r="E2" s="13" t="s">
        <v>2174</v>
      </c>
      <c r="F2" s="1" t="s">
        <v>2175</v>
      </c>
      <c r="G2" s="18" t="s">
        <v>725</v>
      </c>
      <c r="H2" s="14" t="s">
        <v>1420</v>
      </c>
      <c r="I2" s="14" t="s">
        <v>2006</v>
      </c>
      <c r="J2" s="14" t="s">
        <v>2817</v>
      </c>
      <c r="K2" s="14" t="s">
        <v>1401</v>
      </c>
      <c r="L2" s="14" t="s">
        <v>1309</v>
      </c>
    </row>
    <row r="3" spans="1:12" s="111" customFormat="1" ht="12.75">
      <c r="A3" s="165" t="s">
        <v>2178</v>
      </c>
      <c r="B3" s="166" t="s">
        <v>2179</v>
      </c>
      <c r="C3" s="166" t="s">
        <v>2179</v>
      </c>
      <c r="D3" s="166" t="s">
        <v>2179</v>
      </c>
      <c r="E3" s="167" t="s">
        <v>2179</v>
      </c>
      <c r="F3" s="168" t="s">
        <v>2179</v>
      </c>
      <c r="G3" s="167" t="s">
        <v>2179</v>
      </c>
      <c r="H3" s="168" t="s">
        <v>2179</v>
      </c>
      <c r="I3" s="168" t="s">
        <v>2179</v>
      </c>
      <c r="J3" s="168" t="s">
        <v>2179</v>
      </c>
      <c r="K3" s="168" t="s">
        <v>2011</v>
      </c>
      <c r="L3" s="168" t="s">
        <v>2011</v>
      </c>
    </row>
    <row r="4" spans="1:10" s="3" customFormat="1" ht="12.75">
      <c r="A4" s="12"/>
      <c r="B4" s="16"/>
      <c r="C4" s="16"/>
      <c r="D4" s="16"/>
      <c r="E4" s="13"/>
      <c r="F4" s="1"/>
      <c r="G4" s="13"/>
      <c r="H4" s="1"/>
      <c r="I4" s="1"/>
      <c r="J4" s="1"/>
    </row>
    <row r="5" spans="1:10" s="3" customFormat="1" ht="12.75">
      <c r="A5" s="38"/>
      <c r="B5" s="19"/>
      <c r="C5" s="19"/>
      <c r="D5" s="19"/>
      <c r="E5" s="10"/>
      <c r="F5" s="10"/>
      <c r="G5" s="8"/>
      <c r="H5" s="9"/>
      <c r="I5" s="9"/>
      <c r="J5" s="9"/>
    </row>
    <row r="6" spans="1:10" s="3" customFormat="1" ht="12.75">
      <c r="A6" s="2" t="s">
        <v>3182</v>
      </c>
      <c r="B6" s="19"/>
      <c r="C6" s="19"/>
      <c r="D6" s="19"/>
      <c r="E6" s="10"/>
      <c r="F6" s="9"/>
      <c r="G6" s="8"/>
      <c r="H6" s="9"/>
      <c r="I6" s="9"/>
      <c r="J6" s="9"/>
    </row>
    <row r="7" spans="1:12" s="3" customFormat="1" ht="12.75">
      <c r="A7" s="3" t="s">
        <v>3183</v>
      </c>
      <c r="B7" s="19">
        <v>0</v>
      </c>
      <c r="C7" s="19">
        <v>0</v>
      </c>
      <c r="D7" s="19">
        <v>0</v>
      </c>
      <c r="E7" s="10">
        <v>0</v>
      </c>
      <c r="F7" s="219">
        <v>122523.35</v>
      </c>
      <c r="G7" s="212">
        <v>489848.72</v>
      </c>
      <c r="H7" s="219">
        <v>149893.26</v>
      </c>
      <c r="I7" s="219">
        <v>0</v>
      </c>
      <c r="J7" s="218">
        <v>224136.31</v>
      </c>
      <c r="K7" s="126">
        <v>647292</v>
      </c>
      <c r="L7" s="212">
        <v>323538</v>
      </c>
    </row>
    <row r="8" spans="1:12" s="3" customFormat="1" ht="12.75">
      <c r="A8" s="3" t="s">
        <v>781</v>
      </c>
      <c r="B8" s="19">
        <v>40000</v>
      </c>
      <c r="C8" s="19">
        <v>0</v>
      </c>
      <c r="D8" s="19">
        <v>124619.77</v>
      </c>
      <c r="E8" s="10">
        <v>0</v>
      </c>
      <c r="F8" s="219">
        <v>8946.34</v>
      </c>
      <c r="G8" s="212">
        <v>61254.4</v>
      </c>
      <c r="H8" s="219">
        <v>115799.26</v>
      </c>
      <c r="I8" s="219">
        <v>0</v>
      </c>
      <c r="J8" s="219">
        <v>0</v>
      </c>
      <c r="K8" s="124"/>
      <c r="L8" s="124"/>
    </row>
    <row r="9" spans="2:12" s="3" customFormat="1" ht="12.75">
      <c r="B9" s="19"/>
      <c r="C9" s="19"/>
      <c r="D9" s="19"/>
      <c r="E9" s="10"/>
      <c r="F9" s="219"/>
      <c r="G9" s="126"/>
      <c r="H9" s="219"/>
      <c r="I9" s="219"/>
      <c r="J9" s="219"/>
      <c r="K9" s="124"/>
      <c r="L9" s="124"/>
    </row>
    <row r="10" spans="1:12" s="3" customFormat="1" ht="12.75">
      <c r="A10" s="2" t="s">
        <v>3184</v>
      </c>
      <c r="B10" s="31">
        <f aca="true" t="shared" si="0" ref="B10:L10">SUM(B7:B8)</f>
        <v>40000</v>
      </c>
      <c r="C10" s="31">
        <f t="shared" si="0"/>
        <v>0</v>
      </c>
      <c r="D10" s="31">
        <f t="shared" si="0"/>
        <v>124619.77</v>
      </c>
      <c r="E10" s="28">
        <f t="shared" si="0"/>
        <v>0</v>
      </c>
      <c r="F10" s="147">
        <f t="shared" si="0"/>
        <v>131469.69</v>
      </c>
      <c r="G10" s="147">
        <f t="shared" si="0"/>
        <v>551103.12</v>
      </c>
      <c r="H10" s="148">
        <f t="shared" si="0"/>
        <v>265692.52</v>
      </c>
      <c r="I10" s="148">
        <f t="shared" si="0"/>
        <v>0</v>
      </c>
      <c r="J10" s="148">
        <f t="shared" si="0"/>
        <v>224136.31</v>
      </c>
      <c r="K10" s="148">
        <f t="shared" si="0"/>
        <v>647292</v>
      </c>
      <c r="L10" s="148">
        <f t="shared" si="0"/>
        <v>323538</v>
      </c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&amp;C&amp;"Arial,Bold"&amp;11TOWN OF BELMONT - FY07 BUDGET
CHAPTER 90 STATE HIGHWAY FUNDS</oddHeader>
    <oddFooter>&amp;L&amp;A&amp;C&amp;P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G14"/>
  <sheetViews>
    <sheetView workbookViewId="0" topLeftCell="A1">
      <selection activeCell="A20" sqref="A20:IV52"/>
    </sheetView>
  </sheetViews>
  <sheetFormatPr defaultColWidth="9.140625" defaultRowHeight="12.75"/>
  <cols>
    <col min="1" max="1" width="19.57421875" style="0" customWidth="1"/>
    <col min="2" max="2" width="9.7109375" style="0" customWidth="1"/>
    <col min="3" max="3" width="12.00390625" style="0" customWidth="1"/>
    <col min="4" max="4" width="9.8515625" style="0" customWidth="1"/>
    <col min="5" max="5" width="11.00390625" style="0" customWidth="1"/>
    <col min="7" max="7" width="24.57421875" style="0" customWidth="1"/>
  </cols>
  <sheetData>
    <row r="3" spans="1:7" ht="22.5">
      <c r="A3" s="132" t="s">
        <v>1632</v>
      </c>
      <c r="B3" s="132" t="s">
        <v>1633</v>
      </c>
      <c r="C3" s="132" t="s">
        <v>1634</v>
      </c>
      <c r="D3" s="132" t="s">
        <v>1635</v>
      </c>
      <c r="E3" s="132" t="s">
        <v>1636</v>
      </c>
      <c r="F3" s="132" t="s">
        <v>1637</v>
      </c>
      <c r="G3" s="132" t="s">
        <v>1638</v>
      </c>
    </row>
    <row r="4" spans="1:7" ht="12.75">
      <c r="A4" s="223" t="s">
        <v>1639</v>
      </c>
      <c r="B4" s="225" t="s">
        <v>1640</v>
      </c>
      <c r="C4" s="221">
        <v>1090000</v>
      </c>
      <c r="D4" s="221">
        <v>615873</v>
      </c>
      <c r="E4" s="221">
        <v>1705873</v>
      </c>
      <c r="F4" s="221">
        <v>1705873</v>
      </c>
      <c r="G4" s="133" t="s">
        <v>1641</v>
      </c>
    </row>
    <row r="5" spans="1:7" ht="13.5" thickBot="1">
      <c r="A5" s="224"/>
      <c r="B5" s="226"/>
      <c r="C5" s="222"/>
      <c r="D5" s="222"/>
      <c r="E5" s="222"/>
      <c r="F5" s="222"/>
      <c r="G5" s="134" t="s">
        <v>1642</v>
      </c>
    </row>
    <row r="6" spans="1:7" ht="13.5" thickBot="1">
      <c r="A6" s="135" t="s">
        <v>1643</v>
      </c>
      <c r="B6" s="136" t="s">
        <v>1644</v>
      </c>
      <c r="C6" s="137">
        <v>114086</v>
      </c>
      <c r="D6" s="134" t="s">
        <v>1645</v>
      </c>
      <c r="E6" s="137">
        <v>114086</v>
      </c>
      <c r="F6" s="137">
        <v>114086</v>
      </c>
      <c r="G6" s="134" t="s">
        <v>1646</v>
      </c>
    </row>
    <row r="7" spans="1:7" ht="13.5" thickBot="1">
      <c r="A7" s="135" t="s">
        <v>1647</v>
      </c>
      <c r="B7" s="136" t="s">
        <v>1648</v>
      </c>
      <c r="C7" s="137">
        <v>65000</v>
      </c>
      <c r="D7" s="134" t="s">
        <v>1649</v>
      </c>
      <c r="E7" s="137">
        <v>65000</v>
      </c>
      <c r="F7" s="137">
        <v>65000</v>
      </c>
      <c r="G7" s="134" t="s">
        <v>1650</v>
      </c>
    </row>
    <row r="8" spans="1:7" ht="13.5" thickBot="1">
      <c r="A8" s="135" t="s">
        <v>1651</v>
      </c>
      <c r="B8" s="136" t="s">
        <v>1652</v>
      </c>
      <c r="C8" s="137">
        <v>3170</v>
      </c>
      <c r="D8" s="137">
        <v>2735</v>
      </c>
      <c r="E8" s="137">
        <v>5905</v>
      </c>
      <c r="F8" s="137">
        <v>2735</v>
      </c>
      <c r="G8" s="134" t="s">
        <v>1653</v>
      </c>
    </row>
    <row r="9" spans="1:7" ht="23.25" thickBot="1">
      <c r="A9" s="135" t="s">
        <v>1654</v>
      </c>
      <c r="B9" s="136" t="s">
        <v>1655</v>
      </c>
      <c r="C9" s="137">
        <v>490000</v>
      </c>
      <c r="D9" s="134" t="s">
        <v>1656</v>
      </c>
      <c r="E9" s="137">
        <v>598715</v>
      </c>
      <c r="F9" s="137">
        <v>257950</v>
      </c>
      <c r="G9" s="134" t="s">
        <v>1657</v>
      </c>
    </row>
    <row r="10" spans="1:7" ht="23.25" thickBot="1">
      <c r="A10" s="135" t="s">
        <v>1658</v>
      </c>
      <c r="B10" s="136" t="s">
        <v>1659</v>
      </c>
      <c r="C10" s="137">
        <v>245000</v>
      </c>
      <c r="D10" s="137">
        <v>63075</v>
      </c>
      <c r="E10" s="137">
        <v>308075</v>
      </c>
      <c r="F10" s="137">
        <v>308750</v>
      </c>
      <c r="G10" s="134" t="s">
        <v>1660</v>
      </c>
    </row>
    <row r="11" spans="1:7" ht="13.5" thickBot="1">
      <c r="A11" s="135" t="s">
        <v>1661</v>
      </c>
      <c r="B11" s="136" t="s">
        <v>1662</v>
      </c>
      <c r="C11" s="137">
        <v>600000</v>
      </c>
      <c r="D11" s="137">
        <v>431610</v>
      </c>
      <c r="E11" s="137">
        <v>1031610</v>
      </c>
      <c r="F11" s="137">
        <v>1031610</v>
      </c>
      <c r="G11" s="134" t="s">
        <v>1663</v>
      </c>
    </row>
    <row r="12" spans="1:7" ht="13.5" thickBot="1">
      <c r="A12" s="135" t="s">
        <v>1664</v>
      </c>
      <c r="B12" s="136" t="s">
        <v>1665</v>
      </c>
      <c r="C12" s="134" t="s">
        <v>1666</v>
      </c>
      <c r="D12" s="137">
        <v>355000</v>
      </c>
      <c r="E12" s="137">
        <v>62500</v>
      </c>
      <c r="F12" s="134" t="s">
        <v>2180</v>
      </c>
      <c r="G12" s="134"/>
    </row>
    <row r="13" spans="1:7" ht="13.5" thickBot="1">
      <c r="A13" s="135" t="s">
        <v>1667</v>
      </c>
      <c r="B13" s="136" t="s">
        <v>1668</v>
      </c>
      <c r="C13" s="134" t="s">
        <v>1666</v>
      </c>
      <c r="D13" s="137">
        <v>5000</v>
      </c>
      <c r="E13" s="137">
        <v>5000</v>
      </c>
      <c r="F13" s="134"/>
      <c r="G13" s="134"/>
    </row>
    <row r="14" spans="1:7" ht="22.5" thickBot="1">
      <c r="A14" s="138" t="s">
        <v>1669</v>
      </c>
      <c r="B14" s="134"/>
      <c r="C14" s="139">
        <v>2607256</v>
      </c>
      <c r="D14" s="140" t="s">
        <v>1670</v>
      </c>
      <c r="E14" s="139">
        <v>3896764</v>
      </c>
      <c r="F14" s="139">
        <v>3485329</v>
      </c>
      <c r="G14" s="134"/>
    </row>
  </sheetData>
  <mergeCells count="6"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N131"/>
  <sheetViews>
    <sheetView tabSelected="1" view="pageBreakPreview" zoomScale="60" workbookViewId="0" topLeftCell="A1">
      <pane xSplit="5" ySplit="3" topLeftCell="P100" activePane="bottomRight" state="frozen"/>
      <selection pane="topLeft" activeCell="B1" sqref="B1"/>
      <selection pane="topRight" activeCell="G1" sqref="G1"/>
      <selection pane="bottomLeft" activeCell="B3" sqref="B3"/>
      <selection pane="bottomRight" activeCell="S117" sqref="S117"/>
    </sheetView>
  </sheetViews>
  <sheetFormatPr defaultColWidth="13.7109375" defaultRowHeight="15.75" customHeight="1"/>
  <cols>
    <col min="1" max="1" width="6.8515625" style="85" customWidth="1"/>
    <col min="2" max="2" width="53.140625" style="3" customWidth="1"/>
    <col min="3" max="4" width="20.140625" style="174" hidden="1" customWidth="1"/>
    <col min="5" max="6" width="17.00390625" style="8" hidden="1" customWidth="1"/>
    <col min="7" max="7" width="16.57421875" style="8" hidden="1" customWidth="1"/>
    <col min="8" max="8" width="16.8515625" style="8" hidden="1" customWidth="1"/>
    <col min="9" max="9" width="15.421875" style="8" hidden="1" customWidth="1"/>
    <col min="10" max="10" width="16.57421875" style="8" hidden="1" customWidth="1"/>
    <col min="11" max="12" width="17.00390625" style="8" hidden="1" customWidth="1"/>
    <col min="13" max="13" width="16.8515625" style="8" hidden="1" customWidth="1"/>
    <col min="14" max="14" width="17.00390625" style="8" hidden="1" customWidth="1"/>
    <col min="15" max="15" width="16.8515625" style="8" hidden="1" customWidth="1"/>
    <col min="16" max="17" width="19.140625" style="8" bestFit="1" customWidth="1"/>
    <col min="18" max="18" width="19.140625" style="8" customWidth="1"/>
    <col min="19" max="16384" width="13.7109375" style="3" customWidth="1"/>
  </cols>
  <sheetData>
    <row r="1" spans="11:18" ht="15.75" customHeight="1">
      <c r="K1" s="13" t="s">
        <v>1973</v>
      </c>
      <c r="L1" s="13" t="s">
        <v>1973</v>
      </c>
      <c r="M1" s="13" t="s">
        <v>1973</v>
      </c>
      <c r="N1" s="13" t="s">
        <v>1973</v>
      </c>
      <c r="O1" s="13" t="s">
        <v>2854</v>
      </c>
      <c r="P1" s="13" t="s">
        <v>1973</v>
      </c>
      <c r="Q1" s="13" t="s">
        <v>509</v>
      </c>
      <c r="R1" s="13" t="s">
        <v>1371</v>
      </c>
    </row>
    <row r="2" spans="1:170" ht="15.75" customHeight="1">
      <c r="A2" s="102" t="s">
        <v>2480</v>
      </c>
      <c r="B2" s="103"/>
      <c r="C2" s="183" t="s">
        <v>2481</v>
      </c>
      <c r="D2" s="183" t="s">
        <v>2481</v>
      </c>
      <c r="E2" s="104" t="s">
        <v>2481</v>
      </c>
      <c r="F2" s="104" t="s">
        <v>2481</v>
      </c>
      <c r="G2" s="104" t="s">
        <v>2481</v>
      </c>
      <c r="H2" s="104" t="s">
        <v>2481</v>
      </c>
      <c r="I2" s="104" t="s">
        <v>2481</v>
      </c>
      <c r="J2" s="104" t="s">
        <v>2482</v>
      </c>
      <c r="K2" s="104" t="s">
        <v>2481</v>
      </c>
      <c r="L2" s="104" t="s">
        <v>2481</v>
      </c>
      <c r="M2" s="104" t="s">
        <v>2481</v>
      </c>
      <c r="N2" s="104" t="s">
        <v>2481</v>
      </c>
      <c r="O2" s="104" t="s">
        <v>2011</v>
      </c>
      <c r="P2" s="104" t="s">
        <v>2481</v>
      </c>
      <c r="Q2" s="104" t="s">
        <v>523</v>
      </c>
      <c r="R2" s="104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</row>
    <row r="3" spans="1:170" s="111" customFormat="1" ht="15.75" customHeight="1">
      <c r="A3" s="171" t="s">
        <v>2483</v>
      </c>
      <c r="B3" s="171" t="s">
        <v>2484</v>
      </c>
      <c r="C3" s="184" t="s">
        <v>2485</v>
      </c>
      <c r="D3" s="184" t="s">
        <v>2486</v>
      </c>
      <c r="E3" s="173" t="s">
        <v>2487</v>
      </c>
      <c r="F3" s="173" t="s">
        <v>659</v>
      </c>
      <c r="G3" s="173" t="s">
        <v>660</v>
      </c>
      <c r="H3" s="173" t="s">
        <v>661</v>
      </c>
      <c r="I3" s="173" t="s">
        <v>662</v>
      </c>
      <c r="J3" s="160" t="s">
        <v>2488</v>
      </c>
      <c r="K3" s="173" t="s">
        <v>1551</v>
      </c>
      <c r="L3" s="173" t="s">
        <v>1424</v>
      </c>
      <c r="M3" s="173" t="s">
        <v>1425</v>
      </c>
      <c r="N3" s="173" t="s">
        <v>1208</v>
      </c>
      <c r="O3" s="173" t="s">
        <v>2542</v>
      </c>
      <c r="P3" s="173" t="s">
        <v>2542</v>
      </c>
      <c r="Q3" s="173" t="s">
        <v>1939</v>
      </c>
      <c r="R3" s="173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2"/>
      <c r="FL3" s="172"/>
      <c r="FM3" s="172"/>
      <c r="FN3" s="172"/>
    </row>
    <row r="4" spans="1:170" ht="15.75" customHeight="1">
      <c r="A4" s="103"/>
      <c r="B4" s="103"/>
      <c r="C4" s="183"/>
      <c r="D4" s="183"/>
      <c r="E4" s="104"/>
      <c r="F4" s="104"/>
      <c r="G4" s="104"/>
      <c r="H4" s="104"/>
      <c r="I4" s="104"/>
      <c r="J4" s="106"/>
      <c r="K4" s="106"/>
      <c r="L4" s="106"/>
      <c r="M4" s="106"/>
      <c r="N4" s="106"/>
      <c r="O4" s="106"/>
      <c r="P4" s="106"/>
      <c r="Q4" s="106"/>
      <c r="R4" s="106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05"/>
      <c r="DL4" s="105"/>
      <c r="DM4" s="105"/>
      <c r="DN4" s="105"/>
      <c r="DO4" s="105"/>
      <c r="DP4" s="105"/>
      <c r="DQ4" s="105"/>
      <c r="DR4" s="105"/>
      <c r="DS4" s="105"/>
      <c r="DT4" s="105"/>
      <c r="DU4" s="105"/>
      <c r="DV4" s="105"/>
      <c r="DW4" s="105"/>
      <c r="DX4" s="105"/>
      <c r="DY4" s="105"/>
      <c r="DZ4" s="105"/>
      <c r="EA4" s="105"/>
      <c r="EB4" s="105"/>
      <c r="EC4" s="105"/>
      <c r="ED4" s="105"/>
      <c r="EE4" s="105"/>
      <c r="EF4" s="105"/>
      <c r="EG4" s="105"/>
      <c r="EH4" s="105"/>
      <c r="EI4" s="105"/>
      <c r="EJ4" s="105"/>
      <c r="EK4" s="105"/>
      <c r="EL4" s="105"/>
      <c r="EM4" s="105"/>
      <c r="EN4" s="105"/>
      <c r="EO4" s="105"/>
      <c r="EP4" s="105"/>
      <c r="EQ4" s="105"/>
      <c r="ER4" s="105"/>
      <c r="ES4" s="105"/>
      <c r="ET4" s="105"/>
      <c r="EU4" s="105"/>
      <c r="EV4" s="105"/>
      <c r="EW4" s="105"/>
      <c r="EX4" s="105"/>
      <c r="EY4" s="105"/>
      <c r="EZ4" s="105"/>
      <c r="FA4" s="105"/>
      <c r="FB4" s="105"/>
      <c r="FC4" s="105"/>
      <c r="FD4" s="105"/>
      <c r="FE4" s="105"/>
      <c r="FF4" s="105"/>
      <c r="FG4" s="105"/>
      <c r="FH4" s="105"/>
      <c r="FI4" s="105"/>
      <c r="FJ4" s="105"/>
      <c r="FK4" s="105"/>
      <c r="FL4" s="105"/>
      <c r="FM4" s="105"/>
      <c r="FN4" s="105"/>
    </row>
    <row r="5" spans="1:17" ht="15.75" customHeight="1">
      <c r="A5" s="85" t="s">
        <v>2489</v>
      </c>
      <c r="B5" s="107" t="s">
        <v>2490</v>
      </c>
      <c r="C5" s="185">
        <f>31569249-981300</f>
        <v>30587949</v>
      </c>
      <c r="D5" s="185">
        <v>31844326</v>
      </c>
      <c r="E5" s="108">
        <v>33783449</v>
      </c>
      <c r="F5" s="108">
        <v>34872624</v>
      </c>
      <c r="G5" s="108">
        <v>36500824</v>
      </c>
      <c r="H5" s="108">
        <v>37102586</v>
      </c>
      <c r="I5" s="108">
        <v>38727335</v>
      </c>
      <c r="J5" s="108">
        <v>42509694.99</v>
      </c>
      <c r="K5" s="108">
        <v>46764900.5</v>
      </c>
      <c r="L5" s="108">
        <v>50729807.43</v>
      </c>
      <c r="M5" s="108">
        <f>48750963+1272</f>
        <v>48752235</v>
      </c>
      <c r="N5" s="108">
        <f>SUM(M5:M7)</f>
        <v>50536029.875</v>
      </c>
      <c r="O5" s="108">
        <f>SUM(N5:N7)</f>
        <v>52486183.621875</v>
      </c>
      <c r="P5" s="108">
        <v>52486184</v>
      </c>
      <c r="Q5" s="161">
        <f>SUM(P5:P7)</f>
        <v>54478479</v>
      </c>
    </row>
    <row r="6" spans="2:17" ht="15.75" customHeight="1">
      <c r="B6" s="109" t="s">
        <v>2491</v>
      </c>
      <c r="L6" s="8">
        <v>0</v>
      </c>
      <c r="M6" s="8">
        <f>SUM(M5*0.025)</f>
        <v>1218805.875</v>
      </c>
      <c r="N6" s="8">
        <f>SUM(N5*0.025)</f>
        <v>1263400.7468750002</v>
      </c>
      <c r="O6" s="8">
        <f>SUM(O5*0.025)</f>
        <v>1312154.5905468753</v>
      </c>
      <c r="P6" s="8">
        <v>1312155</v>
      </c>
      <c r="Q6" s="162">
        <f>SUM(Q5*2.5%)</f>
        <v>1361961.975</v>
      </c>
    </row>
    <row r="7" spans="2:17" ht="15.75" customHeight="1">
      <c r="B7" s="109" t="s">
        <v>2492</v>
      </c>
      <c r="C7" s="174">
        <v>0</v>
      </c>
      <c r="L7" s="8">
        <v>0</v>
      </c>
      <c r="M7" s="8">
        <v>564989</v>
      </c>
      <c r="N7" s="8">
        <v>686753</v>
      </c>
      <c r="O7" s="8">
        <v>475000</v>
      </c>
      <c r="P7" s="8">
        <v>680140</v>
      </c>
      <c r="Q7" s="162">
        <v>650000</v>
      </c>
    </row>
    <row r="8" spans="2:17" ht="15.75" customHeight="1" hidden="1">
      <c r="B8" s="109" t="s">
        <v>2493</v>
      </c>
      <c r="L8" s="8" t="s">
        <v>1426</v>
      </c>
      <c r="Q8" s="162"/>
    </row>
    <row r="9" spans="2:17" ht="15.75" customHeight="1">
      <c r="B9" s="109" t="s">
        <v>2838</v>
      </c>
      <c r="M9" s="8">
        <v>-66693</v>
      </c>
      <c r="P9" s="8">
        <v>-47861</v>
      </c>
      <c r="Q9" s="162"/>
    </row>
    <row r="10" spans="2:18" ht="15.75" customHeight="1">
      <c r="B10" s="110" t="s">
        <v>2494</v>
      </c>
      <c r="C10" s="186"/>
      <c r="D10" s="186"/>
      <c r="E10" s="112"/>
      <c r="F10" s="112"/>
      <c r="G10" s="112"/>
      <c r="H10" s="112"/>
      <c r="I10" s="112"/>
      <c r="J10" s="112"/>
      <c r="K10" s="112"/>
      <c r="L10" s="112">
        <v>0</v>
      </c>
      <c r="M10" s="112">
        <v>2842493</v>
      </c>
      <c r="N10" s="112">
        <f>2727596.81-6678.71</f>
        <v>2720918.1</v>
      </c>
      <c r="O10" s="112">
        <v>3654858</v>
      </c>
      <c r="P10" s="112">
        <v>3052000</v>
      </c>
      <c r="Q10" s="217">
        <f>'Hx Budgets'!$S$1625</f>
        <v>3686533</v>
      </c>
      <c r="R10" s="9"/>
    </row>
    <row r="11" spans="1:17" ht="15.75" customHeight="1">
      <c r="A11" s="105" t="s">
        <v>2495</v>
      </c>
      <c r="B11" s="62" t="s">
        <v>1974</v>
      </c>
      <c r="C11" s="187">
        <v>1747758</v>
      </c>
      <c r="D11" s="187">
        <v>1682328</v>
      </c>
      <c r="E11" s="8">
        <v>1914084</v>
      </c>
      <c r="F11" s="8">
        <v>2116311</v>
      </c>
      <c r="G11" s="8">
        <v>2267435</v>
      </c>
      <c r="H11" s="8">
        <v>2532124</v>
      </c>
      <c r="I11" s="8">
        <v>2560343</v>
      </c>
      <c r="J11" s="8">
        <v>2576511</v>
      </c>
      <c r="K11" s="8">
        <v>2681069.66</v>
      </c>
      <c r="L11" s="8">
        <v>2578315.81</v>
      </c>
      <c r="M11" s="8">
        <v>2575000</v>
      </c>
      <c r="N11" s="8">
        <v>2425000</v>
      </c>
      <c r="O11" s="8">
        <v>2449000</v>
      </c>
      <c r="P11" s="8">
        <v>2600000</v>
      </c>
      <c r="Q11" s="8">
        <v>2652000</v>
      </c>
    </row>
    <row r="12" spans="1:17" ht="15.75" customHeight="1">
      <c r="A12" s="105" t="s">
        <v>2496</v>
      </c>
      <c r="B12" s="62" t="s">
        <v>1975</v>
      </c>
      <c r="C12" s="187">
        <f>154425.45+51358.29</f>
        <v>205783.74000000002</v>
      </c>
      <c r="D12" s="187">
        <v>160917</v>
      </c>
      <c r="E12" s="8">
        <v>130479</v>
      </c>
      <c r="F12" s="8">
        <v>204883</v>
      </c>
      <c r="G12" s="8">
        <v>236253</v>
      </c>
      <c r="H12" s="8">
        <v>143768</v>
      </c>
      <c r="I12" s="8">
        <v>163501</v>
      </c>
      <c r="J12" s="8">
        <v>237390</v>
      </c>
      <c r="K12" s="8">
        <v>170343.93</v>
      </c>
      <c r="L12" s="8">
        <v>259335.6</v>
      </c>
      <c r="M12" s="8">
        <v>230000</v>
      </c>
      <c r="N12" s="8">
        <v>174200</v>
      </c>
      <c r="O12" s="8">
        <v>175000</v>
      </c>
      <c r="P12" s="8">
        <v>100000</v>
      </c>
      <c r="Q12" s="8">
        <v>120000</v>
      </c>
    </row>
    <row r="13" spans="1:17" ht="15.75" customHeight="1">
      <c r="A13" s="105" t="s">
        <v>2497</v>
      </c>
      <c r="B13" s="62" t="s">
        <v>1976</v>
      </c>
      <c r="C13" s="187">
        <v>509288</v>
      </c>
      <c r="D13" s="187">
        <v>509288</v>
      </c>
      <c r="E13" s="8">
        <v>509288</v>
      </c>
      <c r="F13" s="8">
        <v>509297</v>
      </c>
      <c r="G13" s="8">
        <v>509297</v>
      </c>
      <c r="H13" s="8">
        <v>509297</v>
      </c>
      <c r="I13" s="8">
        <v>509297</v>
      </c>
      <c r="J13" s="8">
        <v>1078435</v>
      </c>
      <c r="K13" s="8">
        <v>1087349.25</v>
      </c>
      <c r="L13" s="8">
        <v>1182892.25</v>
      </c>
      <c r="M13" s="8">
        <v>1178000</v>
      </c>
      <c r="N13" s="8">
        <v>523600</v>
      </c>
      <c r="O13" s="8">
        <v>500000</v>
      </c>
      <c r="P13" s="8">
        <v>368000</v>
      </c>
      <c r="Q13" s="8">
        <v>200000</v>
      </c>
    </row>
    <row r="14" spans="1:18" ht="15.75" customHeight="1">
      <c r="A14" s="105"/>
      <c r="B14" s="103" t="s">
        <v>2498</v>
      </c>
      <c r="C14" s="188">
        <f aca="true" t="shared" si="0" ref="C14:I14">SUM(C5:C13)</f>
        <v>33050778.74</v>
      </c>
      <c r="D14" s="188">
        <f t="shared" si="0"/>
        <v>34196859</v>
      </c>
      <c r="E14" s="28">
        <f t="shared" si="0"/>
        <v>36337300</v>
      </c>
      <c r="F14" s="28">
        <f t="shared" si="0"/>
        <v>37703115</v>
      </c>
      <c r="G14" s="28">
        <f t="shared" si="0"/>
        <v>39513809</v>
      </c>
      <c r="H14" s="28">
        <f t="shared" si="0"/>
        <v>40287775</v>
      </c>
      <c r="I14" s="28">
        <f t="shared" si="0"/>
        <v>41960476</v>
      </c>
      <c r="J14" s="57">
        <f aca="true" t="shared" si="1" ref="J14:Q14">SUM(J5:J13)</f>
        <v>46402030.99</v>
      </c>
      <c r="K14" s="57">
        <f t="shared" si="1"/>
        <v>50703663.339999996</v>
      </c>
      <c r="L14" s="57">
        <f t="shared" si="1"/>
        <v>54750351.09</v>
      </c>
      <c r="M14" s="57">
        <f t="shared" si="1"/>
        <v>57294829.875</v>
      </c>
      <c r="N14" s="57">
        <f t="shared" si="1"/>
        <v>58329901.721875004</v>
      </c>
      <c r="O14" s="57">
        <f t="shared" si="1"/>
        <v>61052196.21242188</v>
      </c>
      <c r="P14" s="57">
        <f t="shared" si="1"/>
        <v>60550618</v>
      </c>
      <c r="Q14" s="57">
        <f t="shared" si="1"/>
        <v>63148973.975</v>
      </c>
      <c r="R14" s="57"/>
    </row>
    <row r="15" spans="4:18" ht="15.75" customHeight="1">
      <c r="D15" s="220">
        <f aca="true" t="shared" si="2" ref="D15:P15">+D14/C14-1</f>
        <v>0.03467634663061503</v>
      </c>
      <c r="E15" s="220">
        <f t="shared" si="2"/>
        <v>0.06259174270946932</v>
      </c>
      <c r="F15" s="220">
        <f t="shared" si="2"/>
        <v>0.037587134982510984</v>
      </c>
      <c r="G15" s="220">
        <f t="shared" si="2"/>
        <v>0.048025050450075435</v>
      </c>
      <c r="H15" s="220">
        <f t="shared" si="2"/>
        <v>0.019587228353510566</v>
      </c>
      <c r="I15" s="220">
        <f t="shared" si="2"/>
        <v>0.04151882301765242</v>
      </c>
      <c r="J15" s="220">
        <f t="shared" si="2"/>
        <v>0.10585092004199392</v>
      </c>
      <c r="K15" s="220">
        <f t="shared" si="2"/>
        <v>0.09270353599235848</v>
      </c>
      <c r="L15" s="220">
        <f t="shared" si="2"/>
        <v>0.07981055969988637</v>
      </c>
      <c r="M15" s="220">
        <f t="shared" si="2"/>
        <v>0.04647420033557981</v>
      </c>
      <c r="N15" s="220">
        <f t="shared" si="2"/>
        <v>0.01806571114938671</v>
      </c>
      <c r="O15" s="220">
        <f t="shared" si="2"/>
        <v>0.04667065107579216</v>
      </c>
      <c r="P15" s="220">
        <f t="shared" si="2"/>
        <v>-0.008215563788675384</v>
      </c>
      <c r="Q15" s="220">
        <f>+Q14/P14-1</f>
        <v>0.04291212973251568</v>
      </c>
      <c r="R15" s="220"/>
    </row>
    <row r="16" ht="8.25" customHeight="1"/>
    <row r="17" spans="1:16" ht="15.75" customHeight="1">
      <c r="A17" s="114" t="s">
        <v>2499</v>
      </c>
      <c r="B17" s="3" t="s">
        <v>2500</v>
      </c>
      <c r="F17" s="8">
        <v>0</v>
      </c>
      <c r="G17" s="8">
        <v>33187</v>
      </c>
      <c r="H17" s="8">
        <v>31819</v>
      </c>
      <c r="I17" s="8">
        <v>33811</v>
      </c>
      <c r="J17" s="8">
        <v>33001.75</v>
      </c>
      <c r="K17" s="8">
        <v>42637.92</v>
      </c>
      <c r="L17" s="8">
        <v>45049.73</v>
      </c>
      <c r="M17" s="8">
        <v>45050</v>
      </c>
      <c r="N17" s="8">
        <v>44597</v>
      </c>
      <c r="P17" s="8">
        <v>38495</v>
      </c>
    </row>
    <row r="18" spans="1:16" ht="15.75" customHeight="1">
      <c r="A18" s="115"/>
      <c r="B18" s="62" t="s">
        <v>2501</v>
      </c>
      <c r="C18" s="187">
        <v>11127</v>
      </c>
      <c r="D18" s="187">
        <v>21599</v>
      </c>
      <c r="E18" s="8">
        <f>896-79</f>
        <v>817</v>
      </c>
      <c r="F18" s="8">
        <v>10994</v>
      </c>
      <c r="G18" s="8">
        <v>1065</v>
      </c>
      <c r="H18" s="8">
        <v>655</v>
      </c>
      <c r="I18" s="8">
        <v>1108</v>
      </c>
      <c r="J18" s="8">
        <v>1221</v>
      </c>
      <c r="K18" s="8">
        <v>1218.9</v>
      </c>
      <c r="L18" s="8">
        <v>1207</v>
      </c>
      <c r="M18" s="8">
        <v>1207</v>
      </c>
      <c r="N18" s="8">
        <v>1364</v>
      </c>
      <c r="P18" s="8">
        <v>878</v>
      </c>
    </row>
    <row r="19" spans="1:16" ht="15.75" customHeight="1">
      <c r="A19" s="105"/>
      <c r="B19" s="62" t="s">
        <v>2502</v>
      </c>
      <c r="C19" s="187"/>
      <c r="D19" s="187">
        <v>23580</v>
      </c>
      <c r="E19" s="8">
        <v>36630</v>
      </c>
      <c r="F19" s="8">
        <v>34365</v>
      </c>
      <c r="G19" s="8">
        <v>34766</v>
      </c>
      <c r="H19" s="8">
        <v>25390</v>
      </c>
      <c r="I19" s="8">
        <v>26145</v>
      </c>
      <c r="J19" s="8">
        <v>32000</v>
      </c>
      <c r="K19" s="8">
        <v>26120</v>
      </c>
      <c r="L19" s="8">
        <v>24800</v>
      </c>
      <c r="M19" s="8">
        <v>24800</v>
      </c>
      <c r="N19" s="8">
        <v>29175</v>
      </c>
      <c r="P19" s="8">
        <v>29362</v>
      </c>
    </row>
    <row r="20" spans="1:14" ht="15.75" customHeight="1">
      <c r="A20" s="105"/>
      <c r="B20" s="62" t="s">
        <v>2503</v>
      </c>
      <c r="C20" s="187"/>
      <c r="D20" s="187"/>
      <c r="H20" s="8">
        <v>76</v>
      </c>
      <c r="I20" s="8">
        <v>666</v>
      </c>
      <c r="J20" s="8">
        <v>0</v>
      </c>
      <c r="K20" s="8">
        <v>-357.92</v>
      </c>
      <c r="L20" s="8">
        <v>224</v>
      </c>
      <c r="M20" s="8">
        <v>224</v>
      </c>
      <c r="N20" s="8">
        <v>0</v>
      </c>
    </row>
    <row r="21" spans="1:16" ht="15.75" customHeight="1">
      <c r="A21" s="105"/>
      <c r="B21" s="62" t="s">
        <v>2504</v>
      </c>
      <c r="C21" s="187"/>
      <c r="D21" s="187"/>
      <c r="H21" s="8">
        <v>8590</v>
      </c>
      <c r="I21" s="8">
        <v>6660</v>
      </c>
      <c r="J21" s="8">
        <v>7540</v>
      </c>
      <c r="K21" s="8">
        <v>6990</v>
      </c>
      <c r="L21" s="8">
        <v>7000</v>
      </c>
      <c r="M21" s="8">
        <v>7000</v>
      </c>
      <c r="N21" s="8">
        <v>7084</v>
      </c>
      <c r="P21" s="8">
        <v>7140</v>
      </c>
    </row>
    <row r="22" spans="1:16" ht="15.75" customHeight="1">
      <c r="A22" s="105"/>
      <c r="B22" s="62" t="s">
        <v>2516</v>
      </c>
      <c r="C22" s="187">
        <v>14600</v>
      </c>
      <c r="D22" s="187">
        <v>16688</v>
      </c>
      <c r="E22" s="8">
        <v>27427</v>
      </c>
      <c r="F22" s="8">
        <v>11750</v>
      </c>
      <c r="G22" s="8">
        <v>15440</v>
      </c>
      <c r="H22" s="8">
        <v>12550</v>
      </c>
      <c r="I22" s="8">
        <v>15010</v>
      </c>
      <c r="J22" s="8">
        <v>7590</v>
      </c>
      <c r="K22" s="8">
        <v>6500</v>
      </c>
      <c r="L22" s="8">
        <v>8350</v>
      </c>
      <c r="M22" s="8">
        <v>8350</v>
      </c>
      <c r="N22" s="8">
        <f>6420+35</f>
        <v>6455</v>
      </c>
      <c r="P22" s="8">
        <v>8900</v>
      </c>
    </row>
    <row r="23" spans="1:16" ht="15.75" customHeight="1">
      <c r="A23" s="105"/>
      <c r="B23" s="62" t="s">
        <v>2517</v>
      </c>
      <c r="C23" s="187"/>
      <c r="D23" s="187"/>
      <c r="F23" s="8">
        <v>20607</v>
      </c>
      <c r="G23" s="8">
        <v>15894</v>
      </c>
      <c r="H23" s="8">
        <v>22129</v>
      </c>
      <c r="I23" s="8">
        <v>39040</v>
      </c>
      <c r="J23" s="8">
        <v>48465.73</v>
      </c>
      <c r="K23" s="8">
        <v>59872.62</v>
      </c>
      <c r="L23" s="8">
        <v>89341</v>
      </c>
      <c r="M23" s="8">
        <v>89341</v>
      </c>
      <c r="N23" s="8">
        <v>84085</v>
      </c>
      <c r="P23" s="8">
        <f>65815+30700</f>
        <v>96515</v>
      </c>
    </row>
    <row r="24" spans="1:16" ht="15.75" customHeight="1">
      <c r="A24" s="105"/>
      <c r="B24" s="62" t="s">
        <v>2518</v>
      </c>
      <c r="C24" s="187">
        <v>3150</v>
      </c>
      <c r="D24" s="187">
        <v>4169</v>
      </c>
      <c r="E24" s="8">
        <v>5522.72</v>
      </c>
      <c r="F24" s="8">
        <v>4663</v>
      </c>
      <c r="G24" s="8">
        <v>21614</v>
      </c>
      <c r="H24" s="8">
        <v>19380</v>
      </c>
      <c r="I24" s="8">
        <v>24055</v>
      </c>
      <c r="J24" s="8">
        <v>21369.68</v>
      </c>
      <c r="K24" s="8">
        <v>20868.85</v>
      </c>
      <c r="L24" s="8">
        <v>30310</v>
      </c>
      <c r="M24" s="8">
        <v>30310</v>
      </c>
      <c r="N24" s="8">
        <v>33040</v>
      </c>
      <c r="P24" s="8">
        <v>58810</v>
      </c>
    </row>
    <row r="25" spans="1:14" ht="15.75" customHeight="1">
      <c r="A25" s="105"/>
      <c r="B25" s="62" t="s">
        <v>2053</v>
      </c>
      <c r="C25" s="187"/>
      <c r="D25" s="187"/>
      <c r="N25" s="8">
        <v>10000</v>
      </c>
    </row>
    <row r="26" spans="1:14" ht="15.75" customHeight="1">
      <c r="A26" s="105"/>
      <c r="B26" s="62" t="s">
        <v>2519</v>
      </c>
      <c r="C26" s="187">
        <v>2240</v>
      </c>
      <c r="D26" s="187">
        <v>1991</v>
      </c>
      <c r="E26" s="8">
        <v>3800</v>
      </c>
      <c r="F26" s="8">
        <v>291</v>
      </c>
      <c r="G26" s="8">
        <v>5631</v>
      </c>
      <c r="H26" s="8">
        <v>2005</v>
      </c>
      <c r="I26" s="8">
        <v>340</v>
      </c>
      <c r="J26" s="8">
        <v>4726</v>
      </c>
      <c r="K26" s="8">
        <v>717</v>
      </c>
      <c r="L26" s="8">
        <v>0</v>
      </c>
      <c r="M26" s="8">
        <v>0</v>
      </c>
      <c r="N26" s="8">
        <v>0</v>
      </c>
    </row>
    <row r="27" spans="1:19" ht="15.75" customHeight="1">
      <c r="A27" s="105"/>
      <c r="B27" s="103" t="s">
        <v>1977</v>
      </c>
      <c r="C27" s="188">
        <f>SUM(C18:C26)</f>
        <v>31117</v>
      </c>
      <c r="D27" s="188">
        <f>SUM(D18:D26)</f>
        <v>68027</v>
      </c>
      <c r="E27" s="28">
        <f>SUM(E18:E26)</f>
        <v>74196.72</v>
      </c>
      <c r="F27" s="28">
        <f aca="true" t="shared" si="3" ref="F27:P27">SUM(F17:F26)</f>
        <v>82670</v>
      </c>
      <c r="G27" s="28">
        <f t="shared" si="3"/>
        <v>127597</v>
      </c>
      <c r="H27" s="28">
        <f t="shared" si="3"/>
        <v>122594</v>
      </c>
      <c r="I27" s="28">
        <f t="shared" si="3"/>
        <v>146835</v>
      </c>
      <c r="J27" s="57">
        <f t="shared" si="3"/>
        <v>155914.16</v>
      </c>
      <c r="K27" s="57">
        <f t="shared" si="3"/>
        <v>164567.37000000002</v>
      </c>
      <c r="L27" s="57">
        <f t="shared" si="3"/>
        <v>206281.73</v>
      </c>
      <c r="M27" s="57">
        <f t="shared" si="3"/>
        <v>206282</v>
      </c>
      <c r="N27" s="57">
        <f t="shared" si="3"/>
        <v>215800</v>
      </c>
      <c r="O27" s="57">
        <v>215000</v>
      </c>
      <c r="P27" s="57">
        <f t="shared" si="3"/>
        <v>240100</v>
      </c>
      <c r="Q27" s="57">
        <v>265000</v>
      </c>
      <c r="R27" s="57"/>
      <c r="S27" s="3" t="s">
        <v>2180</v>
      </c>
    </row>
    <row r="28" ht="10.5" customHeight="1">
      <c r="S28" s="3" t="s">
        <v>2180</v>
      </c>
    </row>
    <row r="29" spans="1:16" ht="15.75" customHeight="1">
      <c r="A29" s="105" t="s">
        <v>2520</v>
      </c>
      <c r="B29" s="62" t="s">
        <v>2521</v>
      </c>
      <c r="C29" s="187">
        <v>87850</v>
      </c>
      <c r="D29" s="187">
        <v>116812</v>
      </c>
      <c r="E29" s="8">
        <v>108344</v>
      </c>
      <c r="F29" s="8">
        <v>77660</v>
      </c>
      <c r="G29" s="8">
        <v>79763</v>
      </c>
      <c r="H29" s="8">
        <v>122505</v>
      </c>
      <c r="I29" s="8">
        <v>86420</v>
      </c>
      <c r="J29" s="8">
        <v>125085</v>
      </c>
      <c r="K29" s="8">
        <v>99192.86</v>
      </c>
      <c r="L29" s="8">
        <v>59955</v>
      </c>
      <c r="M29" s="8">
        <v>59955</v>
      </c>
      <c r="N29" s="8">
        <v>49960</v>
      </c>
      <c r="P29" s="8">
        <v>52948</v>
      </c>
    </row>
    <row r="30" spans="1:16" ht="15.75" customHeight="1">
      <c r="A30" s="105"/>
      <c r="B30" s="62" t="s">
        <v>1972</v>
      </c>
      <c r="C30" s="187"/>
      <c r="D30" s="187"/>
      <c r="N30" s="8">
        <v>2940</v>
      </c>
      <c r="P30" s="8">
        <f>460+6145</f>
        <v>6605</v>
      </c>
    </row>
    <row r="31" spans="1:16" ht="15.75" customHeight="1">
      <c r="A31" s="105" t="s">
        <v>2522</v>
      </c>
      <c r="B31" s="62" t="s">
        <v>2523</v>
      </c>
      <c r="C31" s="187">
        <v>160664</v>
      </c>
      <c r="D31" s="187">
        <v>160918</v>
      </c>
      <c r="E31" s="8">
        <v>183951</v>
      </c>
      <c r="F31" s="8">
        <v>135118</v>
      </c>
      <c r="G31" s="8">
        <v>160245</v>
      </c>
      <c r="H31" s="8">
        <v>175295</v>
      </c>
      <c r="I31" s="8">
        <v>177878</v>
      </c>
      <c r="J31" s="8">
        <v>193759</v>
      </c>
      <c r="K31" s="8">
        <v>148931</v>
      </c>
      <c r="L31" s="8">
        <v>151750</v>
      </c>
      <c r="M31" s="8">
        <v>151750</v>
      </c>
      <c r="N31" s="8">
        <v>184900</v>
      </c>
      <c r="P31" s="8">
        <f>204147</f>
        <v>204147</v>
      </c>
    </row>
    <row r="32" spans="1:18" ht="15.75" customHeight="1">
      <c r="A32" s="105"/>
      <c r="B32" s="103" t="s">
        <v>1978</v>
      </c>
      <c r="C32" s="188">
        <f aca="true" t="shared" si="4" ref="C32:P32">SUM(C29:C31)</f>
        <v>248514</v>
      </c>
      <c r="D32" s="188">
        <f t="shared" si="4"/>
        <v>277730</v>
      </c>
      <c r="E32" s="28">
        <f t="shared" si="4"/>
        <v>292295</v>
      </c>
      <c r="F32" s="28">
        <f t="shared" si="4"/>
        <v>212778</v>
      </c>
      <c r="G32" s="28">
        <f t="shared" si="4"/>
        <v>240008</v>
      </c>
      <c r="H32" s="28">
        <f t="shared" si="4"/>
        <v>297800</v>
      </c>
      <c r="I32" s="28">
        <f t="shared" si="4"/>
        <v>264298</v>
      </c>
      <c r="J32" s="57">
        <f t="shared" si="4"/>
        <v>318844</v>
      </c>
      <c r="K32" s="57">
        <f t="shared" si="4"/>
        <v>248123.86</v>
      </c>
      <c r="L32" s="57">
        <f t="shared" si="4"/>
        <v>211705</v>
      </c>
      <c r="M32" s="57">
        <f t="shared" si="4"/>
        <v>211705</v>
      </c>
      <c r="N32" s="57">
        <f t="shared" si="4"/>
        <v>237800</v>
      </c>
      <c r="O32" s="57">
        <v>230000</v>
      </c>
      <c r="P32" s="57">
        <f t="shared" si="4"/>
        <v>263700</v>
      </c>
      <c r="Q32" s="57">
        <v>288000</v>
      </c>
      <c r="R32" s="57"/>
    </row>
    <row r="33" ht="12" customHeight="1">
      <c r="B33" s="3" t="s">
        <v>2180</v>
      </c>
    </row>
    <row r="34" spans="2:16" ht="12" customHeight="1">
      <c r="B34" s="3" t="s">
        <v>2574</v>
      </c>
      <c r="E34" s="8">
        <v>50263</v>
      </c>
      <c r="F34" s="8">
        <v>50802</v>
      </c>
      <c r="G34" s="8">
        <v>37500</v>
      </c>
      <c r="H34" s="8">
        <v>0</v>
      </c>
      <c r="I34" s="8">
        <v>0</v>
      </c>
      <c r="P34" s="8">
        <v>13000</v>
      </c>
    </row>
    <row r="35" spans="1:16" ht="15.75" customHeight="1">
      <c r="A35" s="105" t="s">
        <v>2524</v>
      </c>
      <c r="B35" s="62" t="s">
        <v>2525</v>
      </c>
      <c r="C35" s="187">
        <v>3707</v>
      </c>
      <c r="D35" s="187">
        <v>3796</v>
      </c>
      <c r="E35" s="8">
        <v>3403.09</v>
      </c>
      <c r="F35" s="8">
        <v>4139</v>
      </c>
      <c r="G35" s="8">
        <v>16326</v>
      </c>
      <c r="H35" s="8">
        <v>33262</v>
      </c>
      <c r="I35" s="8">
        <v>41065</v>
      </c>
      <c r="J35" s="8">
        <v>21620.48</v>
      </c>
      <c r="K35" s="8">
        <v>21525</v>
      </c>
      <c r="L35" s="8">
        <v>31340.88</v>
      </c>
      <c r="M35" s="8">
        <v>31341</v>
      </c>
      <c r="N35" s="8">
        <v>34254</v>
      </c>
      <c r="P35" s="8">
        <v>17606</v>
      </c>
    </row>
    <row r="36" spans="1:16" ht="15.75" customHeight="1">
      <c r="A36" s="105"/>
      <c r="B36" s="62" t="s">
        <v>2526</v>
      </c>
      <c r="C36" s="187">
        <v>1686</v>
      </c>
      <c r="D36" s="187">
        <v>4306</v>
      </c>
      <c r="E36" s="8">
        <v>22483.6</v>
      </c>
      <c r="F36" s="8">
        <v>29337</v>
      </c>
      <c r="G36" s="8">
        <v>62534</v>
      </c>
      <c r="H36" s="8">
        <v>16592</v>
      </c>
      <c r="I36" s="8">
        <v>32541</v>
      </c>
      <c r="J36" s="8">
        <v>31606.25</v>
      </c>
      <c r="K36" s="8">
        <v>60682</v>
      </c>
      <c r="L36" s="8">
        <v>31060.87</v>
      </c>
      <c r="M36" s="8">
        <v>31061</v>
      </c>
      <c r="N36" s="8">
        <v>19621</v>
      </c>
      <c r="P36" s="8">
        <v>18003</v>
      </c>
    </row>
    <row r="37" spans="1:16" ht="15.75" customHeight="1">
      <c r="A37" s="105"/>
      <c r="B37" s="62" t="s">
        <v>2527</v>
      </c>
      <c r="C37" s="187"/>
      <c r="D37" s="187"/>
      <c r="E37" s="8">
        <v>1516</v>
      </c>
      <c r="F37" s="8">
        <v>3509</v>
      </c>
      <c r="G37" s="8">
        <v>1489</v>
      </c>
      <c r="H37" s="8">
        <v>1655</v>
      </c>
      <c r="I37" s="8">
        <v>796</v>
      </c>
      <c r="J37" s="8">
        <v>1616</v>
      </c>
      <c r="K37" s="8">
        <v>1063</v>
      </c>
      <c r="L37" s="8">
        <v>1052</v>
      </c>
      <c r="M37" s="8">
        <v>1052</v>
      </c>
      <c r="N37" s="8">
        <v>1336</v>
      </c>
      <c r="P37" s="8">
        <v>512</v>
      </c>
    </row>
    <row r="38" spans="1:16" ht="15.75" customHeight="1">
      <c r="A38" s="105"/>
      <c r="B38" s="62" t="s">
        <v>2528</v>
      </c>
      <c r="C38" s="187">
        <v>14607</v>
      </c>
      <c r="D38" s="187">
        <v>8477</v>
      </c>
      <c r="E38" s="8">
        <v>9055.9</v>
      </c>
      <c r="F38" s="8">
        <v>9329</v>
      </c>
      <c r="G38" s="8">
        <v>8205</v>
      </c>
      <c r="H38" s="8">
        <v>8907</v>
      </c>
      <c r="I38" s="8">
        <v>9463</v>
      </c>
      <c r="J38" s="8">
        <v>9873</v>
      </c>
      <c r="K38" s="8">
        <v>9748.25</v>
      </c>
      <c r="L38" s="8">
        <v>10458.4</v>
      </c>
      <c r="M38" s="8">
        <v>10458</v>
      </c>
      <c r="N38" s="8">
        <v>8418</v>
      </c>
      <c r="P38" s="8">
        <v>8029</v>
      </c>
    </row>
    <row r="39" spans="1:16" ht="15.75" customHeight="1">
      <c r="A39" s="105"/>
      <c r="B39" s="62" t="s">
        <v>2529</v>
      </c>
      <c r="C39" s="187">
        <v>21826</v>
      </c>
      <c r="D39" s="187">
        <v>21460</v>
      </c>
      <c r="E39" s="8">
        <v>15582.44</v>
      </c>
      <c r="F39" s="8">
        <v>36979</v>
      </c>
      <c r="G39" s="8">
        <v>37342</v>
      </c>
      <c r="H39" s="8">
        <v>32651</v>
      </c>
      <c r="I39" s="8">
        <v>41210</v>
      </c>
      <c r="J39" s="8">
        <v>40585.03</v>
      </c>
      <c r="K39" s="8">
        <v>44971.85</v>
      </c>
      <c r="L39" s="8">
        <v>38144.96</v>
      </c>
      <c r="M39" s="8">
        <v>38145</v>
      </c>
      <c r="N39" s="8">
        <v>49274</v>
      </c>
      <c r="P39" s="8">
        <v>31738</v>
      </c>
    </row>
    <row r="40" spans="1:16" ht="15.75" customHeight="1">
      <c r="A40" s="105"/>
      <c r="B40" s="62" t="s">
        <v>2530</v>
      </c>
      <c r="C40" s="187">
        <v>337</v>
      </c>
      <c r="D40" s="187">
        <v>0</v>
      </c>
      <c r="E40" s="8">
        <v>10442.62</v>
      </c>
      <c r="F40" s="8">
        <v>85</v>
      </c>
      <c r="G40" s="8">
        <v>0</v>
      </c>
      <c r="H40" s="8">
        <v>34</v>
      </c>
      <c r="I40" s="8">
        <v>2050</v>
      </c>
      <c r="J40" s="8">
        <v>5</v>
      </c>
      <c r="K40" s="8">
        <v>23</v>
      </c>
      <c r="L40" s="8">
        <v>553.94</v>
      </c>
      <c r="M40" s="8">
        <v>554</v>
      </c>
      <c r="N40" s="8">
        <v>721</v>
      </c>
      <c r="P40" s="8">
        <v>2444</v>
      </c>
    </row>
    <row r="41" spans="1:16" ht="16.5" customHeight="1">
      <c r="A41" s="105"/>
      <c r="B41" s="62" t="s">
        <v>2531</v>
      </c>
      <c r="C41" s="187"/>
      <c r="D41" s="187"/>
      <c r="H41" s="8">
        <v>100</v>
      </c>
      <c r="J41" s="8">
        <v>59443.2</v>
      </c>
      <c r="K41" s="8">
        <v>23913.18</v>
      </c>
      <c r="L41" s="8">
        <v>0</v>
      </c>
      <c r="M41" s="8">
        <v>0</v>
      </c>
      <c r="N41" s="8">
        <v>0</v>
      </c>
      <c r="P41" s="8">
        <v>1582</v>
      </c>
    </row>
    <row r="42" spans="1:8" ht="16.5" customHeight="1" hidden="1">
      <c r="A42" s="105"/>
      <c r="B42" s="62" t="s">
        <v>2575</v>
      </c>
      <c r="C42" s="187"/>
      <c r="D42" s="187"/>
      <c r="H42" s="8">
        <v>250000</v>
      </c>
    </row>
    <row r="43" spans="1:16" ht="15.75" customHeight="1">
      <c r="A43" s="105"/>
      <c r="B43" s="62" t="s">
        <v>2532</v>
      </c>
      <c r="C43" s="187">
        <v>45041</v>
      </c>
      <c r="D43" s="187">
        <v>36562</v>
      </c>
      <c r="E43" s="8">
        <v>25418</v>
      </c>
      <c r="F43" s="8">
        <v>32082</v>
      </c>
      <c r="G43" s="8">
        <v>25456</v>
      </c>
      <c r="H43" s="8">
        <v>22479</v>
      </c>
      <c r="I43" s="8">
        <v>91640</v>
      </c>
      <c r="J43" s="8">
        <v>49766</v>
      </c>
      <c r="K43" s="8">
        <v>111666</v>
      </c>
      <c r="L43" s="8">
        <v>79350.19</v>
      </c>
      <c r="M43" s="8">
        <v>79350</v>
      </c>
      <c r="N43" s="8">
        <v>77396</v>
      </c>
      <c r="P43" s="8">
        <v>48460</v>
      </c>
    </row>
    <row r="44" spans="1:11" ht="16.5" customHeight="1" hidden="1">
      <c r="A44" s="105"/>
      <c r="B44" s="62" t="s">
        <v>2533</v>
      </c>
      <c r="C44" s="187"/>
      <c r="D44" s="187"/>
      <c r="F44" s="8">
        <v>0</v>
      </c>
      <c r="G44" s="8">
        <v>0</v>
      </c>
      <c r="H44" s="8">
        <v>559</v>
      </c>
      <c r="I44" s="8">
        <v>1030</v>
      </c>
      <c r="J44" s="8">
        <v>962.28</v>
      </c>
      <c r="K44" s="8">
        <v>276</v>
      </c>
    </row>
    <row r="45" spans="1:16" ht="15.75" customHeight="1">
      <c r="A45" s="105"/>
      <c r="B45" s="62" t="s">
        <v>2534</v>
      </c>
      <c r="C45" s="187"/>
      <c r="D45" s="187"/>
      <c r="H45" s="8">
        <v>9531</v>
      </c>
      <c r="I45" s="8">
        <v>9990</v>
      </c>
      <c r="J45" s="8">
        <v>12081.25</v>
      </c>
      <c r="K45" s="8">
        <v>9546.8</v>
      </c>
      <c r="L45" s="8">
        <v>11032.3</v>
      </c>
      <c r="M45" s="8">
        <v>11032</v>
      </c>
      <c r="N45" s="8">
        <v>11194</v>
      </c>
      <c r="P45" s="8">
        <v>12590</v>
      </c>
    </row>
    <row r="46" spans="1:16" ht="15.75" customHeight="1">
      <c r="A46" s="105"/>
      <c r="B46" s="62" t="s">
        <v>2576</v>
      </c>
      <c r="C46" s="187">
        <v>39279</v>
      </c>
      <c r="D46" s="187">
        <v>121317</v>
      </c>
      <c r="E46" s="8">
        <f>230949.15+10534.15</f>
        <v>241483.3</v>
      </c>
      <c r="F46" s="8">
        <v>60229</v>
      </c>
      <c r="G46" s="8">
        <v>29909</v>
      </c>
      <c r="H46" s="8">
        <v>27972</v>
      </c>
      <c r="I46" s="8">
        <v>27142</v>
      </c>
      <c r="J46" s="8">
        <v>41080</v>
      </c>
      <c r="K46" s="8">
        <v>14274.48</v>
      </c>
      <c r="L46" s="8">
        <v>35</v>
      </c>
      <c r="M46" s="8">
        <v>35</v>
      </c>
      <c r="N46" s="8">
        <v>26850</v>
      </c>
      <c r="P46" s="8">
        <v>31462</v>
      </c>
    </row>
    <row r="47" spans="1:9" ht="15" customHeight="1" hidden="1">
      <c r="A47" s="105"/>
      <c r="B47" s="62" t="s">
        <v>2535</v>
      </c>
      <c r="C47" s="187"/>
      <c r="D47" s="187"/>
      <c r="H47" s="8">
        <v>734</v>
      </c>
      <c r="I47" s="8">
        <v>350</v>
      </c>
    </row>
    <row r="48" spans="1:16" ht="17.25" customHeight="1">
      <c r="A48" s="105"/>
      <c r="B48" s="62" t="s">
        <v>2536</v>
      </c>
      <c r="C48" s="187">
        <v>0</v>
      </c>
      <c r="D48" s="187">
        <v>1400</v>
      </c>
      <c r="E48" s="8">
        <v>23778.55</v>
      </c>
      <c r="F48" s="8">
        <v>22545</v>
      </c>
      <c r="G48" s="8">
        <v>28764</v>
      </c>
      <c r="H48" s="8">
        <v>24396</v>
      </c>
      <c r="I48" s="8">
        <v>25787</v>
      </c>
      <c r="J48" s="8">
        <v>24143.04</v>
      </c>
      <c r="K48" s="8">
        <v>24480.62</v>
      </c>
      <c r="L48" s="8">
        <v>30115.1</v>
      </c>
      <c r="M48" s="8">
        <f>30115-2617</f>
        <v>27498</v>
      </c>
      <c r="N48" s="8">
        <v>32762</v>
      </c>
      <c r="P48" s="8">
        <v>39888</v>
      </c>
    </row>
    <row r="49" spans="1:10" ht="12.75" hidden="1">
      <c r="A49" s="105"/>
      <c r="B49" s="62" t="s">
        <v>2537</v>
      </c>
      <c r="C49" s="187">
        <v>0</v>
      </c>
      <c r="D49" s="187">
        <v>27828</v>
      </c>
      <c r="E49" s="8">
        <v>17666.59</v>
      </c>
      <c r="F49" s="8">
        <v>12490</v>
      </c>
      <c r="G49" s="8">
        <v>18801</v>
      </c>
      <c r="H49" s="8">
        <v>18807</v>
      </c>
      <c r="I49" s="8">
        <v>17304</v>
      </c>
      <c r="J49" s="8" t="s">
        <v>2180</v>
      </c>
    </row>
    <row r="50" spans="1:16" ht="12.75">
      <c r="A50" s="105"/>
      <c r="B50" s="62" t="s">
        <v>1944</v>
      </c>
      <c r="C50" s="187"/>
      <c r="D50" s="187"/>
      <c r="P50" s="8">
        <v>3844</v>
      </c>
    </row>
    <row r="51" spans="1:16" ht="15.75" customHeight="1">
      <c r="A51" s="105"/>
      <c r="B51" s="62" t="s">
        <v>2538</v>
      </c>
      <c r="C51" s="187">
        <v>75370</v>
      </c>
      <c r="D51" s="187">
        <v>87495</v>
      </c>
      <c r="E51" s="8">
        <v>82680</v>
      </c>
      <c r="F51" s="8">
        <v>84635</v>
      </c>
      <c r="G51" s="8">
        <v>106125</v>
      </c>
      <c r="H51" s="8">
        <v>98118</v>
      </c>
      <c r="I51" s="8">
        <v>91518</v>
      </c>
      <c r="J51" s="8">
        <v>116480</v>
      </c>
      <c r="K51" s="8">
        <v>97960</v>
      </c>
      <c r="L51" s="8">
        <v>104261</v>
      </c>
      <c r="M51" s="8">
        <v>109290</v>
      </c>
      <c r="N51" s="8">
        <v>109300</v>
      </c>
      <c r="P51" s="8">
        <v>92960</v>
      </c>
    </row>
    <row r="52" spans="1:16" ht="15.75" customHeight="1">
      <c r="A52" s="105"/>
      <c r="B52" s="62" t="s">
        <v>2539</v>
      </c>
      <c r="C52" s="187"/>
      <c r="D52" s="187"/>
      <c r="H52" s="8">
        <v>853</v>
      </c>
      <c r="I52" s="8">
        <v>395</v>
      </c>
      <c r="J52" s="8">
        <v>1738.75</v>
      </c>
      <c r="K52" s="8">
        <v>580</v>
      </c>
      <c r="L52" s="8">
        <v>1268.75</v>
      </c>
      <c r="M52" s="8">
        <v>1269</v>
      </c>
      <c r="N52" s="8">
        <v>1049</v>
      </c>
      <c r="P52" s="8">
        <v>1875</v>
      </c>
    </row>
    <row r="53" spans="1:16" ht="15.75" customHeight="1">
      <c r="A53" s="105"/>
      <c r="B53" s="62" t="s">
        <v>2577</v>
      </c>
      <c r="C53" s="187"/>
      <c r="D53" s="187"/>
      <c r="K53" s="8">
        <v>463</v>
      </c>
      <c r="L53" s="8">
        <v>34435.12</v>
      </c>
      <c r="M53" s="8">
        <f>34435-15000</f>
        <v>19435</v>
      </c>
      <c r="N53" s="8">
        <v>0</v>
      </c>
      <c r="P53" s="8">
        <v>1467</v>
      </c>
    </row>
    <row r="54" spans="1:16" ht="15.75" customHeight="1">
      <c r="A54" s="105"/>
      <c r="B54" s="62" t="s">
        <v>2540</v>
      </c>
      <c r="C54" s="187">
        <v>45627</v>
      </c>
      <c r="D54" s="187">
        <v>44842</v>
      </c>
      <c r="E54" s="8">
        <v>47975.52</v>
      </c>
      <c r="F54" s="8">
        <v>50880</v>
      </c>
      <c r="G54" s="8">
        <v>44410</v>
      </c>
      <c r="H54" s="8">
        <v>47612</v>
      </c>
      <c r="I54" s="8">
        <v>48616</v>
      </c>
      <c r="J54" s="8">
        <v>51608.54</v>
      </c>
      <c r="K54" s="8">
        <v>50905.2</v>
      </c>
      <c r="L54" s="8">
        <v>50942.6</v>
      </c>
      <c r="M54" s="8">
        <v>60131</v>
      </c>
      <c r="N54" s="8">
        <v>60100</v>
      </c>
      <c r="P54" s="8">
        <v>64950</v>
      </c>
    </row>
    <row r="55" spans="1:13" ht="15.75" customHeight="1">
      <c r="A55" s="105"/>
      <c r="B55" s="62" t="s">
        <v>2543</v>
      </c>
      <c r="C55" s="187"/>
      <c r="D55" s="187"/>
      <c r="E55" s="8">
        <v>0</v>
      </c>
      <c r="F55" s="8">
        <v>0</v>
      </c>
      <c r="G55" s="8">
        <v>25000</v>
      </c>
      <c r="H55" s="8">
        <v>25000</v>
      </c>
      <c r="K55" s="8">
        <v>2127.28</v>
      </c>
      <c r="L55" s="8">
        <v>13923.95</v>
      </c>
      <c r="M55" s="8">
        <v>13924</v>
      </c>
    </row>
    <row r="56" spans="1:16" ht="15.75" customHeight="1">
      <c r="A56" s="105"/>
      <c r="B56" s="62" t="s">
        <v>2544</v>
      </c>
      <c r="C56" s="187"/>
      <c r="D56" s="187"/>
      <c r="E56" s="8">
        <v>0</v>
      </c>
      <c r="F56" s="8">
        <v>462149</v>
      </c>
      <c r="G56" s="8">
        <v>456893</v>
      </c>
      <c r="H56" s="8">
        <v>465844</v>
      </c>
      <c r="I56" s="8">
        <v>503771</v>
      </c>
      <c r="J56" s="8">
        <v>514998.89</v>
      </c>
      <c r="K56" s="8">
        <v>546105.25</v>
      </c>
      <c r="L56" s="8">
        <f>163327+114356+38690+20710+6750+22225+40960+41501.25+500+2974.1+52291.18</f>
        <v>504284.52999999997</v>
      </c>
      <c r="M56" s="8">
        <v>560945</v>
      </c>
      <c r="N56" s="8">
        <v>514000</v>
      </c>
      <c r="P56" s="8">
        <f>170823+134907+34112+23725+10000+35195+43577+34193+1553+50975+2940</f>
        <v>542000</v>
      </c>
    </row>
    <row r="57" spans="1:14" ht="15.75" customHeight="1">
      <c r="A57" s="105" t="s">
        <v>2180</v>
      </c>
      <c r="B57" s="62" t="s">
        <v>2545</v>
      </c>
      <c r="C57" s="187">
        <v>18193</v>
      </c>
      <c r="D57" s="187">
        <v>6339</v>
      </c>
      <c r="E57" s="8">
        <f>20000+257.5</f>
        <v>20257.5</v>
      </c>
      <c r="F57" s="8">
        <f>794+1000+92457</f>
        <v>94251</v>
      </c>
      <c r="G57" s="8">
        <f>2537+267+272+1146</f>
        <v>4222</v>
      </c>
      <c r="H57" s="8">
        <v>162</v>
      </c>
      <c r="I57" s="8">
        <v>8528</v>
      </c>
      <c r="J57" s="8">
        <v>160.01</v>
      </c>
      <c r="K57" s="8">
        <v>1089.86</v>
      </c>
      <c r="L57" s="8">
        <v>6830</v>
      </c>
      <c r="M57" s="8">
        <v>6830</v>
      </c>
      <c r="N57" s="8">
        <v>6370</v>
      </c>
    </row>
    <row r="58" spans="1:16" ht="15.75" customHeight="1">
      <c r="A58" s="105"/>
      <c r="B58" s="62" t="s">
        <v>2546</v>
      </c>
      <c r="C58" s="187">
        <v>151217</v>
      </c>
      <c r="D58" s="187">
        <v>151166</v>
      </c>
      <c r="E58" s="8">
        <v>162433.27</v>
      </c>
      <c r="F58" s="8">
        <v>208444</v>
      </c>
      <c r="G58" s="8">
        <v>190893</v>
      </c>
      <c r="H58" s="8">
        <v>187787</v>
      </c>
      <c r="I58" s="8">
        <v>193134</v>
      </c>
      <c r="J58" s="8">
        <v>238942.95</v>
      </c>
      <c r="K58" s="8">
        <v>277337.96</v>
      </c>
      <c r="L58" s="8">
        <v>253963.1</v>
      </c>
      <c r="M58" s="8">
        <v>253963</v>
      </c>
      <c r="N58" s="8">
        <v>285545</v>
      </c>
      <c r="P58" s="8">
        <v>326033</v>
      </c>
    </row>
    <row r="59" spans="1:18" ht="15.75" customHeight="1">
      <c r="A59" s="105"/>
      <c r="B59" s="62" t="s">
        <v>2547</v>
      </c>
      <c r="C59" s="187"/>
      <c r="D59" s="187">
        <v>6297</v>
      </c>
      <c r="E59" s="8">
        <v>3001</v>
      </c>
      <c r="F59" s="8">
        <v>6993</v>
      </c>
      <c r="G59" s="8">
        <v>9385</v>
      </c>
      <c r="H59" s="8">
        <v>8372</v>
      </c>
      <c r="I59" s="8">
        <v>6514</v>
      </c>
      <c r="J59" s="116">
        <v>0</v>
      </c>
      <c r="K59" s="116">
        <v>6955</v>
      </c>
      <c r="L59" s="116">
        <v>9192.87</v>
      </c>
      <c r="M59" s="116" t="s">
        <v>1426</v>
      </c>
      <c r="N59" s="116" t="s">
        <v>1426</v>
      </c>
      <c r="O59" s="116" t="s">
        <v>1426</v>
      </c>
      <c r="P59" s="116" t="s">
        <v>1426</v>
      </c>
      <c r="Q59" s="116" t="s">
        <v>1426</v>
      </c>
      <c r="R59" s="116"/>
    </row>
    <row r="60" spans="1:18" ht="15.75" customHeight="1">
      <c r="A60" s="105"/>
      <c r="B60" s="103" t="s">
        <v>1979</v>
      </c>
      <c r="C60" s="188">
        <f>SUM(C35:C59)</f>
        <v>416890</v>
      </c>
      <c r="D60" s="188">
        <f>SUM(D35:D59)</f>
        <v>521285</v>
      </c>
      <c r="E60" s="28">
        <f>SUM(E34:E59)</f>
        <v>737440.38</v>
      </c>
      <c r="F60" s="28">
        <f>SUM(F34:F59)</f>
        <v>1168878</v>
      </c>
      <c r="G60" s="28">
        <f>SUM(G34:G59)</f>
        <v>1103254</v>
      </c>
      <c r="H60" s="28">
        <f>SUM(H34:H59)</f>
        <v>1281427</v>
      </c>
      <c r="I60" s="28">
        <f>SUM(I34:I59)</f>
        <v>1152844</v>
      </c>
      <c r="J60" s="57">
        <f>SUM(J35:J59)</f>
        <v>1216710.67</v>
      </c>
      <c r="K60" s="57">
        <f>SUM(K35:K59)</f>
        <v>1305693.73</v>
      </c>
      <c r="L60" s="57">
        <f>SUM(L35:L59)</f>
        <v>1212245.56</v>
      </c>
      <c r="M60" s="57">
        <f>SUM(M35:M59)</f>
        <v>1256313</v>
      </c>
      <c r="N60" s="57">
        <f>SUM(N35:N59)</f>
        <v>1238190</v>
      </c>
      <c r="O60" s="57">
        <v>1263000</v>
      </c>
      <c r="P60" s="57">
        <f>SUM(P34:P59)</f>
        <v>1258443</v>
      </c>
      <c r="Q60" s="57">
        <v>1299000</v>
      </c>
      <c r="R60" s="57"/>
    </row>
    <row r="61" spans="1:18" ht="9.75" customHeight="1">
      <c r="A61" s="105"/>
      <c r="B61" s="62"/>
      <c r="C61" s="187"/>
      <c r="D61" s="220">
        <f aca="true" t="shared" si="5" ref="D61:P61">+D60/C60-1</f>
        <v>0.25041377821487676</v>
      </c>
      <c r="E61" s="220">
        <f t="shared" si="5"/>
        <v>0.4146587375428028</v>
      </c>
      <c r="F61" s="220">
        <f t="shared" si="5"/>
        <v>0.5850474583450394</v>
      </c>
      <c r="G61" s="220">
        <f t="shared" si="5"/>
        <v>-0.05614272832579614</v>
      </c>
      <c r="H61" s="220">
        <f t="shared" si="5"/>
        <v>0.16149771494143694</v>
      </c>
      <c r="I61" s="220">
        <f t="shared" si="5"/>
        <v>-0.10034360131322351</v>
      </c>
      <c r="J61" s="220">
        <f t="shared" si="5"/>
        <v>0.055399230077963546</v>
      </c>
      <c r="K61" s="220">
        <f t="shared" si="5"/>
        <v>0.07313411659322422</v>
      </c>
      <c r="L61" s="220">
        <f t="shared" si="5"/>
        <v>-0.07156974706465036</v>
      </c>
      <c r="M61" s="220">
        <f t="shared" si="5"/>
        <v>0.03635190876673522</v>
      </c>
      <c r="N61" s="220">
        <f t="shared" si="5"/>
        <v>-0.014425545226388614</v>
      </c>
      <c r="O61" s="220">
        <f t="shared" si="5"/>
        <v>0.020037312528771833</v>
      </c>
      <c r="P61" s="220">
        <f t="shared" si="5"/>
        <v>-0.0036080760095011932</v>
      </c>
      <c r="Q61" s="220">
        <f>+Q60/P60-1</f>
        <v>0.03222791973891548</v>
      </c>
      <c r="R61" s="220"/>
    </row>
    <row r="62" spans="1:16" ht="15.75" customHeight="1">
      <c r="A62" s="105">
        <v>4400</v>
      </c>
      <c r="B62" s="62" t="s">
        <v>2548</v>
      </c>
      <c r="C62" s="187"/>
      <c r="D62" s="187"/>
      <c r="E62" s="8">
        <v>33520</v>
      </c>
      <c r="F62" s="8">
        <v>33949</v>
      </c>
      <c r="H62" s="8">
        <v>5500</v>
      </c>
      <c r="I62" s="8">
        <v>13700</v>
      </c>
      <c r="J62" s="8">
        <v>17241.87</v>
      </c>
      <c r="K62" s="8">
        <v>19400</v>
      </c>
      <c r="L62" s="8">
        <v>23600</v>
      </c>
      <c r="M62" s="8">
        <v>23600</v>
      </c>
      <c r="N62" s="8">
        <v>20700</v>
      </c>
      <c r="P62" s="8">
        <v>30050</v>
      </c>
    </row>
    <row r="63" spans="1:16" ht="15.75" customHeight="1">
      <c r="A63" s="105"/>
      <c r="B63" s="62" t="s">
        <v>2549</v>
      </c>
      <c r="C63" s="187">
        <v>7389</v>
      </c>
      <c r="D63" s="187">
        <v>6000</v>
      </c>
      <c r="E63" s="8">
        <v>12368</v>
      </c>
      <c r="G63" s="8">
        <v>1330</v>
      </c>
      <c r="H63" s="8">
        <v>2788</v>
      </c>
      <c r="I63" s="8">
        <v>925</v>
      </c>
      <c r="J63" s="8">
        <v>1012.5</v>
      </c>
      <c r="K63" s="8">
        <v>1475</v>
      </c>
      <c r="L63" s="8">
        <v>1875</v>
      </c>
      <c r="M63" s="8">
        <v>1875</v>
      </c>
      <c r="N63" s="8">
        <v>27574</v>
      </c>
      <c r="P63" s="8">
        <v>2761</v>
      </c>
    </row>
    <row r="64" spans="1:18" ht="15.75" customHeight="1">
      <c r="A64" s="105"/>
      <c r="B64" s="62" t="s">
        <v>2552</v>
      </c>
      <c r="C64" s="187">
        <v>130953</v>
      </c>
      <c r="D64" s="187">
        <v>295327</v>
      </c>
      <c r="E64" s="8">
        <v>220011.08</v>
      </c>
      <c r="F64" s="8">
        <v>456088</v>
      </c>
      <c r="G64" s="8">
        <v>270738</v>
      </c>
      <c r="H64" s="8">
        <v>327842</v>
      </c>
      <c r="I64" s="8">
        <v>270774</v>
      </c>
      <c r="J64" s="116">
        <v>370649.57</v>
      </c>
      <c r="K64" s="116">
        <v>488733.7</v>
      </c>
      <c r="L64" s="116">
        <v>536935.3</v>
      </c>
      <c r="M64" s="116">
        <f>475475-950</f>
        <v>474525</v>
      </c>
      <c r="N64" s="116">
        <v>340426</v>
      </c>
      <c r="O64" s="116">
        <v>0</v>
      </c>
      <c r="P64" s="116">
        <v>617189</v>
      </c>
      <c r="Q64" s="116">
        <v>0</v>
      </c>
      <c r="R64" s="116"/>
    </row>
    <row r="65" spans="1:18" ht="15.75" customHeight="1">
      <c r="A65" s="105"/>
      <c r="B65" s="103" t="s">
        <v>1980</v>
      </c>
      <c r="C65" s="188">
        <f aca="true" t="shared" si="6" ref="C65:N65">SUM(C62:C64)</f>
        <v>138342</v>
      </c>
      <c r="D65" s="188">
        <f t="shared" si="6"/>
        <v>301327</v>
      </c>
      <c r="E65" s="28">
        <f t="shared" si="6"/>
        <v>265899.07999999996</v>
      </c>
      <c r="F65" s="28">
        <f t="shared" si="6"/>
        <v>490037</v>
      </c>
      <c r="G65" s="28">
        <f t="shared" si="6"/>
        <v>272068</v>
      </c>
      <c r="H65" s="28">
        <f t="shared" si="6"/>
        <v>336130</v>
      </c>
      <c r="I65" s="28">
        <f t="shared" si="6"/>
        <v>285399</v>
      </c>
      <c r="J65" s="57">
        <f t="shared" si="6"/>
        <v>388903.94</v>
      </c>
      <c r="K65" s="57">
        <f t="shared" si="6"/>
        <v>509608.7</v>
      </c>
      <c r="L65" s="57">
        <f t="shared" si="6"/>
        <v>562410.3</v>
      </c>
      <c r="M65" s="57">
        <f t="shared" si="6"/>
        <v>500000</v>
      </c>
      <c r="N65" s="57">
        <f t="shared" si="6"/>
        <v>388700</v>
      </c>
      <c r="O65" s="57">
        <v>420000</v>
      </c>
      <c r="P65" s="57">
        <v>650000</v>
      </c>
      <c r="Q65" s="57">
        <v>420000</v>
      </c>
      <c r="R65" s="57"/>
    </row>
    <row r="66" spans="1:4" ht="9.75" customHeight="1">
      <c r="A66" s="105"/>
      <c r="B66" s="62"/>
      <c r="C66" s="187"/>
      <c r="D66" s="187"/>
    </row>
    <row r="67" spans="1:17" ht="15.75" customHeight="1">
      <c r="A67" s="105" t="s">
        <v>2553</v>
      </c>
      <c r="B67" s="62" t="s">
        <v>1436</v>
      </c>
      <c r="C67" s="187">
        <v>347944</v>
      </c>
      <c r="D67" s="187">
        <v>694033</v>
      </c>
      <c r="E67" s="8">
        <v>1541260.28</v>
      </c>
      <c r="F67" s="8">
        <v>865519</v>
      </c>
      <c r="G67" s="8">
        <v>671752</v>
      </c>
      <c r="H67" s="8">
        <v>691961</v>
      </c>
      <c r="I67" s="8">
        <v>465159</v>
      </c>
      <c r="J67" s="8">
        <v>274087.63</v>
      </c>
      <c r="K67" s="8">
        <v>314151.77</v>
      </c>
      <c r="L67" s="8">
        <v>253478.07</v>
      </c>
      <c r="M67" s="8">
        <v>565328</v>
      </c>
      <c r="N67" s="8">
        <v>424000</v>
      </c>
      <c r="O67" s="8">
        <v>300000</v>
      </c>
      <c r="P67" s="8">
        <v>650000</v>
      </c>
      <c r="Q67" s="8">
        <v>1000000</v>
      </c>
    </row>
    <row r="68" spans="1:18" ht="15.75" customHeight="1">
      <c r="A68" s="105"/>
      <c r="B68" s="103" t="s">
        <v>1981</v>
      </c>
      <c r="C68" s="188">
        <v>347944</v>
      </c>
      <c r="D68" s="188">
        <v>694033</v>
      </c>
      <c r="E68" s="28">
        <f aca="true" t="shared" si="7" ref="E68:K68">SUM(E67)</f>
        <v>1541260.28</v>
      </c>
      <c r="F68" s="28">
        <f>SUM(F67)</f>
        <v>865519</v>
      </c>
      <c r="G68" s="28">
        <f>SUM(G67)</f>
        <v>671752</v>
      </c>
      <c r="H68" s="28">
        <f>SUM(H67)</f>
        <v>691961</v>
      </c>
      <c r="I68" s="28">
        <f>SUM(I67)</f>
        <v>465159</v>
      </c>
      <c r="J68" s="57">
        <f t="shared" si="7"/>
        <v>274087.63</v>
      </c>
      <c r="K68" s="57">
        <f t="shared" si="7"/>
        <v>314151.77</v>
      </c>
      <c r="L68" s="57">
        <f aca="true" t="shared" si="8" ref="L68:Q68">SUM(L67)</f>
        <v>253478.07</v>
      </c>
      <c r="M68" s="57">
        <f t="shared" si="8"/>
        <v>565328</v>
      </c>
      <c r="N68" s="57">
        <f t="shared" si="8"/>
        <v>424000</v>
      </c>
      <c r="O68" s="57">
        <f t="shared" si="8"/>
        <v>300000</v>
      </c>
      <c r="P68" s="57">
        <f t="shared" si="8"/>
        <v>650000</v>
      </c>
      <c r="Q68" s="57">
        <f t="shared" si="8"/>
        <v>1000000</v>
      </c>
      <c r="R68" s="57"/>
    </row>
    <row r="69" ht="8.25" customHeight="1"/>
    <row r="70" spans="1:18" ht="15.75" customHeight="1">
      <c r="A70" s="105"/>
      <c r="B70" s="103" t="s">
        <v>2554</v>
      </c>
      <c r="C70" s="188">
        <f aca="true" t="shared" si="9" ref="C70:K70">SUM(C5:C68)/2</f>
        <v>34233585.739999995</v>
      </c>
      <c r="D70" s="188">
        <f t="shared" si="9"/>
        <v>36059261.14254506</v>
      </c>
      <c r="E70" s="28">
        <f t="shared" si="9"/>
        <v>39248391.69862524</v>
      </c>
      <c r="F70" s="28">
        <f>SUM(F5:F68)/2</f>
        <v>40522997.311317295</v>
      </c>
      <c r="G70" s="28">
        <f>SUM(G5:G68)/2</f>
        <v>41928487.99594116</v>
      </c>
      <c r="H70" s="28">
        <f>SUM(H5:H68)/2</f>
        <v>43017687.09054247</v>
      </c>
      <c r="I70" s="28">
        <f>SUM(I5:I68)/2</f>
        <v>44275010.97058761</v>
      </c>
      <c r="J70" s="57">
        <f t="shared" si="9"/>
        <v>48756491.47062509</v>
      </c>
      <c r="K70" s="57">
        <f t="shared" si="9"/>
        <v>53245808.852918826</v>
      </c>
      <c r="L70" s="57">
        <f aca="true" t="shared" si="10" ref="L70:Q70">SUM(L68+L65+L60+L32+L27+L14)</f>
        <v>57196471.75</v>
      </c>
      <c r="M70" s="57">
        <f t="shared" si="10"/>
        <v>60034457.875</v>
      </c>
      <c r="N70" s="57">
        <f t="shared" si="10"/>
        <v>60834391.721875004</v>
      </c>
      <c r="O70" s="57">
        <f t="shared" si="10"/>
        <v>63480196.21242188</v>
      </c>
      <c r="P70" s="57">
        <f t="shared" si="10"/>
        <v>63612861</v>
      </c>
      <c r="Q70" s="57">
        <f t="shared" si="10"/>
        <v>66420973.975</v>
      </c>
      <c r="R70" s="57"/>
    </row>
    <row r="71" ht="10.5" customHeight="1"/>
    <row r="72" spans="1:9" ht="15.75" customHeight="1">
      <c r="A72" s="105" t="s">
        <v>2555</v>
      </c>
      <c r="B72" s="113" t="s">
        <v>2556</v>
      </c>
      <c r="C72" s="187">
        <f>4184.1+4256.65</f>
        <v>8440.75</v>
      </c>
      <c r="D72" s="187">
        <v>0</v>
      </c>
      <c r="E72" s="8">
        <f>364294+20000+12079</f>
        <v>396373</v>
      </c>
      <c r="F72" s="8">
        <v>0</v>
      </c>
      <c r="G72" s="8">
        <v>65000</v>
      </c>
      <c r="H72" s="8">
        <v>488698</v>
      </c>
      <c r="I72" s="8">
        <v>948813</v>
      </c>
    </row>
    <row r="73" spans="1:4" ht="15.75" customHeight="1">
      <c r="A73" s="105"/>
      <c r="B73" s="113" t="s">
        <v>1437</v>
      </c>
      <c r="C73" s="187"/>
      <c r="D73" s="187"/>
    </row>
    <row r="74" spans="1:17" ht="15.75" customHeight="1">
      <c r="A74" s="105"/>
      <c r="B74" s="62" t="s">
        <v>2557</v>
      </c>
      <c r="C74" s="187">
        <v>80000</v>
      </c>
      <c r="D74" s="187">
        <v>60000</v>
      </c>
      <c r="E74" s="8">
        <v>38415.12</v>
      </c>
      <c r="F74" s="8">
        <v>81942</v>
      </c>
      <c r="G74" s="8">
        <v>65000</v>
      </c>
      <c r="J74" s="8">
        <v>85000</v>
      </c>
      <c r="K74" s="8">
        <v>75000</v>
      </c>
      <c r="L74" s="8">
        <v>55000</v>
      </c>
      <c r="M74" s="8">
        <v>55000</v>
      </c>
      <c r="N74" s="8">
        <v>55000</v>
      </c>
      <c r="O74" s="8">
        <v>55000</v>
      </c>
      <c r="P74" s="8">
        <v>55000</v>
      </c>
      <c r="Q74" s="8">
        <v>55000</v>
      </c>
    </row>
    <row r="75" spans="1:5" ht="15.75" customHeight="1" hidden="1">
      <c r="A75" s="105"/>
      <c r="B75" s="62" t="s">
        <v>2558</v>
      </c>
      <c r="C75" s="187">
        <v>100000</v>
      </c>
      <c r="D75" s="187">
        <v>100000</v>
      </c>
      <c r="E75" s="8">
        <v>100000</v>
      </c>
    </row>
    <row r="76" spans="1:17" ht="15.75" customHeight="1">
      <c r="A76" s="105"/>
      <c r="B76" s="62" t="s">
        <v>1399</v>
      </c>
      <c r="C76" s="187"/>
      <c r="D76" s="187"/>
      <c r="O76" s="8">
        <v>142750</v>
      </c>
      <c r="P76" s="8">
        <v>30000</v>
      </c>
      <c r="Q76" s="8">
        <v>30000</v>
      </c>
    </row>
    <row r="77" spans="1:17" ht="15.75" customHeight="1">
      <c r="A77" s="105"/>
      <c r="B77" s="62" t="s">
        <v>2559</v>
      </c>
      <c r="C77" s="187">
        <v>159000</v>
      </c>
      <c r="D77" s="187">
        <v>860000</v>
      </c>
      <c r="E77" s="8">
        <v>570000</v>
      </c>
      <c r="F77" s="8">
        <v>400000</v>
      </c>
      <c r="G77" s="8">
        <v>375000</v>
      </c>
      <c r="H77" s="8">
        <v>3173707</v>
      </c>
      <c r="I77" s="8">
        <v>1281548</v>
      </c>
      <c r="J77" s="8">
        <v>70000</v>
      </c>
      <c r="K77" s="8">
        <v>56000</v>
      </c>
      <c r="L77" s="8">
        <f>183081</f>
        <v>183081</v>
      </c>
      <c r="M77" s="8">
        <v>410000</v>
      </c>
      <c r="N77" s="8">
        <f>300000+500000</f>
        <v>800000</v>
      </c>
      <c r="O77" s="8">
        <v>850000</v>
      </c>
      <c r="P77" s="8">
        <f>850000-60000</f>
        <v>790000</v>
      </c>
      <c r="Q77" s="8">
        <v>800000</v>
      </c>
    </row>
    <row r="78" spans="1:18" ht="15.75" customHeight="1">
      <c r="A78" s="105"/>
      <c r="B78" s="62" t="s">
        <v>1438</v>
      </c>
      <c r="C78" s="187"/>
      <c r="D78" s="187"/>
      <c r="L78" s="8" t="s">
        <v>1426</v>
      </c>
      <c r="M78" s="8">
        <f>7676.48+2352.22</f>
        <v>10028.699999999999</v>
      </c>
      <c r="N78" s="8">
        <f>7288.92+2263.66</f>
        <v>9552.58</v>
      </c>
      <c r="O78" s="8">
        <v>9553</v>
      </c>
      <c r="P78" s="178">
        <f>6907.18+2175.27+197.21</f>
        <v>9279.66</v>
      </c>
      <c r="Q78" s="178">
        <f>6907.18+2175.27+197.21</f>
        <v>9279.66</v>
      </c>
      <c r="R78" s="178"/>
    </row>
    <row r="79" spans="1:17" ht="15.75" customHeight="1">
      <c r="A79" s="105"/>
      <c r="B79" s="62" t="s">
        <v>2573</v>
      </c>
      <c r="C79" s="187">
        <v>200000</v>
      </c>
      <c r="D79" s="187">
        <v>645000</v>
      </c>
      <c r="E79" s="8">
        <f>100000+275000</f>
        <v>375000</v>
      </c>
      <c r="F79" s="8">
        <v>450000</v>
      </c>
      <c r="G79" s="8">
        <v>450000</v>
      </c>
      <c r="H79" s="8">
        <v>625000</v>
      </c>
      <c r="I79" s="8">
        <v>555000</v>
      </c>
      <c r="J79" s="8">
        <v>430000</v>
      </c>
      <c r="K79" s="8">
        <v>450000</v>
      </c>
      <c r="L79" s="8">
        <v>525000</v>
      </c>
      <c r="M79" s="8">
        <v>380000</v>
      </c>
      <c r="N79" s="8">
        <v>320000</v>
      </c>
      <c r="O79" s="8">
        <v>380000</v>
      </c>
      <c r="P79" s="8">
        <v>380000</v>
      </c>
      <c r="Q79" s="8">
        <v>430000</v>
      </c>
    </row>
    <row r="80" spans="2:14" ht="15.75" customHeight="1" hidden="1">
      <c r="B80" s="3" t="s">
        <v>2561</v>
      </c>
      <c r="L80" s="8" t="s">
        <v>1426</v>
      </c>
      <c r="M80" s="8" t="s">
        <v>1426</v>
      </c>
      <c r="N80" s="8" t="s">
        <v>1426</v>
      </c>
    </row>
    <row r="81" ht="15.75" customHeight="1" hidden="1">
      <c r="B81" s="3" t="s">
        <v>2562</v>
      </c>
    </row>
    <row r="82" spans="2:14" ht="15.75" customHeight="1" hidden="1">
      <c r="B82" s="3" t="s">
        <v>1439</v>
      </c>
      <c r="K82" s="8">
        <v>0</v>
      </c>
      <c r="L82" s="8">
        <v>0</v>
      </c>
      <c r="M82" s="8">
        <v>0</v>
      </c>
      <c r="N82" s="8">
        <v>0</v>
      </c>
    </row>
    <row r="83" ht="15.75" customHeight="1" hidden="1">
      <c r="B83" s="38" t="s">
        <v>1440</v>
      </c>
    </row>
    <row r="84" spans="1:17" ht="15.75" customHeight="1">
      <c r="A84" s="105"/>
      <c r="B84" s="62" t="s">
        <v>2564</v>
      </c>
      <c r="C84" s="187">
        <v>0</v>
      </c>
      <c r="D84" s="187">
        <v>0</v>
      </c>
      <c r="E84" s="8">
        <v>0</v>
      </c>
      <c r="I84" s="8">
        <v>325152</v>
      </c>
      <c r="J84" s="8">
        <v>274900</v>
      </c>
      <c r="K84" s="8">
        <v>266450</v>
      </c>
      <c r="L84" s="8">
        <v>257950</v>
      </c>
      <c r="M84" s="8">
        <v>249400</v>
      </c>
      <c r="N84" s="8">
        <v>240700</v>
      </c>
      <c r="O84" s="8">
        <v>231800</v>
      </c>
      <c r="P84" s="8">
        <f>231800+75750</f>
        <v>307550</v>
      </c>
      <c r="Q84" s="8">
        <v>294800</v>
      </c>
    </row>
    <row r="85" spans="1:17" ht="15.75" customHeight="1">
      <c r="A85" s="105"/>
      <c r="B85" s="62" t="s">
        <v>2578</v>
      </c>
      <c r="C85" s="187"/>
      <c r="D85" s="187"/>
      <c r="N85" s="8">
        <v>650000</v>
      </c>
      <c r="O85" s="8">
        <v>650000</v>
      </c>
      <c r="P85" s="8">
        <v>650000</v>
      </c>
      <c r="Q85" s="8">
        <v>650000</v>
      </c>
    </row>
    <row r="86" spans="1:17" ht="15.75" customHeight="1">
      <c r="A86" s="105"/>
      <c r="B86" s="62" t="s">
        <v>2565</v>
      </c>
      <c r="C86" s="187"/>
      <c r="D86" s="187"/>
      <c r="E86" s="8">
        <v>100000</v>
      </c>
      <c r="F86" s="8">
        <v>100000</v>
      </c>
      <c r="G86" s="8">
        <v>100000</v>
      </c>
      <c r="H86" s="8">
        <v>100000</v>
      </c>
      <c r="J86" s="8">
        <v>100000</v>
      </c>
      <c r="K86" s="8">
        <v>100000</v>
      </c>
      <c r="L86" s="8">
        <v>100000</v>
      </c>
      <c r="M86" s="8">
        <v>100000</v>
      </c>
      <c r="N86" s="8">
        <v>135000</v>
      </c>
      <c r="O86" s="8">
        <v>155000</v>
      </c>
      <c r="P86" s="8">
        <v>150000</v>
      </c>
      <c r="Q86" s="8">
        <v>150000</v>
      </c>
    </row>
    <row r="87" spans="1:17" ht="15.75" customHeight="1">
      <c r="A87" s="105"/>
      <c r="B87" s="62" t="s">
        <v>1441</v>
      </c>
      <c r="C87" s="187"/>
      <c r="D87" s="187"/>
      <c r="E87" s="8">
        <v>100000</v>
      </c>
      <c r="F87" s="8">
        <v>100000</v>
      </c>
      <c r="G87" s="8">
        <v>100000</v>
      </c>
      <c r="H87" s="8">
        <v>100000</v>
      </c>
      <c r="M87" s="8">
        <v>100000</v>
      </c>
      <c r="N87" s="8">
        <v>100000</v>
      </c>
      <c r="O87" s="8">
        <v>120000</v>
      </c>
      <c r="P87" s="8">
        <v>120000</v>
      </c>
      <c r="Q87" s="8">
        <v>120000</v>
      </c>
    </row>
    <row r="88" spans="1:18" ht="15.75" customHeight="1">
      <c r="A88" s="105"/>
      <c r="B88" s="62" t="s">
        <v>2103</v>
      </c>
      <c r="C88" s="187"/>
      <c r="D88" s="187"/>
      <c r="P88" s="178">
        <v>143463.64</v>
      </c>
      <c r="Q88" s="178">
        <v>0</v>
      </c>
      <c r="R88" s="178"/>
    </row>
    <row r="89" spans="1:4" ht="15.75" customHeight="1">
      <c r="A89" s="105"/>
      <c r="B89" s="113" t="s">
        <v>1442</v>
      </c>
      <c r="C89" s="187"/>
      <c r="D89" s="187"/>
    </row>
    <row r="90" spans="1:14" ht="15.75" customHeight="1">
      <c r="A90" s="105"/>
      <c r="B90" s="62" t="s">
        <v>918</v>
      </c>
      <c r="C90" s="187"/>
      <c r="D90" s="187"/>
      <c r="L90" s="8">
        <f>75000+566020.19</f>
        <v>641020.19</v>
      </c>
      <c r="M90" s="8">
        <v>0</v>
      </c>
      <c r="N90" s="8">
        <v>0</v>
      </c>
    </row>
    <row r="91" spans="1:12" ht="15.75" customHeight="1">
      <c r="A91" s="105"/>
      <c r="B91" s="62" t="s">
        <v>2560</v>
      </c>
      <c r="C91" s="187"/>
      <c r="D91" s="187"/>
      <c r="F91" s="8">
        <v>1100000</v>
      </c>
      <c r="G91" s="8">
        <v>1100000</v>
      </c>
      <c r="H91" s="8">
        <v>544253</v>
      </c>
      <c r="J91" s="8">
        <v>1767100</v>
      </c>
      <c r="L91" s="8">
        <v>362000</v>
      </c>
    </row>
    <row r="92" spans="1:12" ht="15.75" customHeight="1">
      <c r="A92" s="105"/>
      <c r="B92" s="62" t="s">
        <v>1443</v>
      </c>
      <c r="C92" s="187"/>
      <c r="D92" s="187"/>
      <c r="L92" s="8">
        <v>308000</v>
      </c>
    </row>
    <row r="93" spans="1:19" ht="15.75" customHeight="1">
      <c r="A93" s="105"/>
      <c r="B93" s="62" t="s">
        <v>1444</v>
      </c>
      <c r="C93" s="187">
        <v>0</v>
      </c>
      <c r="D93" s="187">
        <v>0</v>
      </c>
      <c r="E93" s="8">
        <v>112518</v>
      </c>
      <c r="J93" s="8">
        <v>382900</v>
      </c>
      <c r="L93" s="8">
        <v>50000</v>
      </c>
      <c r="M93" s="8">
        <v>100000</v>
      </c>
      <c r="N93" s="8">
        <v>100000</v>
      </c>
      <c r="O93" s="8">
        <v>100000</v>
      </c>
      <c r="P93" s="8">
        <v>100000</v>
      </c>
      <c r="Q93" s="8">
        <v>100000</v>
      </c>
      <c r="S93" s="3" t="s">
        <v>2180</v>
      </c>
    </row>
    <row r="94" spans="1:19" ht="15.75" customHeight="1">
      <c r="A94" s="105"/>
      <c r="B94" s="62" t="s">
        <v>575</v>
      </c>
      <c r="C94" s="187"/>
      <c r="D94" s="187"/>
      <c r="P94" s="8">
        <v>150000</v>
      </c>
      <c r="Q94" s="8">
        <v>0</v>
      </c>
      <c r="S94" s="3" t="s">
        <v>2180</v>
      </c>
    </row>
    <row r="95" spans="2:14" ht="15.75" customHeight="1">
      <c r="B95" s="3" t="s">
        <v>2563</v>
      </c>
      <c r="G95" s="8">
        <v>430000</v>
      </c>
      <c r="J95" s="8">
        <v>1200000</v>
      </c>
      <c r="K95" s="8">
        <v>100000</v>
      </c>
      <c r="L95" s="8">
        <v>32900</v>
      </c>
      <c r="M95" s="8">
        <v>30000</v>
      </c>
      <c r="N95" s="8">
        <v>0</v>
      </c>
    </row>
    <row r="96" spans="1:14" ht="15.75" customHeight="1">
      <c r="A96" s="105"/>
      <c r="B96" s="62" t="s">
        <v>2566</v>
      </c>
      <c r="C96" s="187"/>
      <c r="D96" s="187"/>
      <c r="I96" s="8">
        <v>0</v>
      </c>
      <c r="J96" s="8">
        <v>523624</v>
      </c>
      <c r="K96" s="8">
        <v>242900</v>
      </c>
      <c r="L96" s="8">
        <f>330000+90000</f>
        <v>420000</v>
      </c>
      <c r="M96" s="8">
        <v>216000</v>
      </c>
      <c r="N96" s="8">
        <v>0</v>
      </c>
    </row>
    <row r="97" spans="1:18" ht="15" hidden="1">
      <c r="A97" s="105"/>
      <c r="B97" s="62" t="s">
        <v>2567</v>
      </c>
      <c r="C97" s="187"/>
      <c r="D97" s="187"/>
      <c r="F97" s="8">
        <f>200000+400000</f>
        <v>600000</v>
      </c>
      <c r="G97" s="8">
        <f>125000+812447+184086</f>
        <v>1121533</v>
      </c>
      <c r="H97" s="8">
        <v>613906</v>
      </c>
      <c r="J97" s="116">
        <v>0</v>
      </c>
      <c r="K97" s="116">
        <v>0</v>
      </c>
      <c r="L97" s="116" t="s">
        <v>1426</v>
      </c>
      <c r="M97" s="116" t="s">
        <v>1426</v>
      </c>
      <c r="N97" s="116" t="s">
        <v>1426</v>
      </c>
      <c r="O97" s="116" t="s">
        <v>1426</v>
      </c>
      <c r="P97" s="116" t="s">
        <v>1426</v>
      </c>
      <c r="Q97" s="116" t="s">
        <v>1426</v>
      </c>
      <c r="R97" s="116"/>
    </row>
    <row r="98" spans="1:18" ht="15.75" customHeight="1">
      <c r="A98" s="105"/>
      <c r="B98" s="103" t="s">
        <v>2568</v>
      </c>
      <c r="C98" s="188">
        <f aca="true" t="shared" si="11" ref="C98:K98">SUM(C72:C97)</f>
        <v>547440.75</v>
      </c>
      <c r="D98" s="188">
        <f t="shared" si="11"/>
        <v>1665000</v>
      </c>
      <c r="E98" s="28">
        <f t="shared" si="11"/>
        <v>1792306.12</v>
      </c>
      <c r="F98" s="28">
        <f t="shared" si="11"/>
        <v>2831942</v>
      </c>
      <c r="G98" s="28">
        <f t="shared" si="11"/>
        <v>3806533</v>
      </c>
      <c r="H98" s="28">
        <f t="shared" si="11"/>
        <v>5645564</v>
      </c>
      <c r="I98" s="28">
        <f t="shared" si="11"/>
        <v>3110513</v>
      </c>
      <c r="J98" s="57">
        <f t="shared" si="11"/>
        <v>4833524</v>
      </c>
      <c r="K98" s="57">
        <f t="shared" si="11"/>
        <v>1290350</v>
      </c>
      <c r="L98" s="57">
        <f aca="true" t="shared" si="12" ref="L98:Q98">SUM(L74:L97)</f>
        <v>2934951.19</v>
      </c>
      <c r="M98" s="57">
        <f t="shared" si="12"/>
        <v>1650428.7</v>
      </c>
      <c r="N98" s="57">
        <f t="shared" si="12"/>
        <v>2410252.58</v>
      </c>
      <c r="O98" s="57">
        <f t="shared" si="12"/>
        <v>2694103</v>
      </c>
      <c r="P98" s="182">
        <f t="shared" si="12"/>
        <v>2885293.3000000003</v>
      </c>
      <c r="Q98" s="182">
        <f t="shared" si="12"/>
        <v>2639079.66</v>
      </c>
      <c r="R98" s="182"/>
    </row>
    <row r="99" ht="9.75" customHeight="1"/>
    <row r="100" spans="1:18" ht="15.75" customHeight="1">
      <c r="A100" s="105"/>
      <c r="B100" s="103" t="s">
        <v>2570</v>
      </c>
      <c r="C100" s="188">
        <f aca="true" t="shared" si="13" ref="C100:I100">C70+C98</f>
        <v>34781026.489999995</v>
      </c>
      <c r="D100" s="188">
        <f t="shared" si="13"/>
        <v>37724261.14254506</v>
      </c>
      <c r="E100" s="28">
        <f t="shared" si="13"/>
        <v>41040697.818625234</v>
      </c>
      <c r="F100" s="28">
        <f t="shared" si="13"/>
        <v>43354939.311317295</v>
      </c>
      <c r="G100" s="28">
        <f t="shared" si="13"/>
        <v>45735020.99594116</v>
      </c>
      <c r="H100" s="28">
        <f t="shared" si="13"/>
        <v>48663251.09054247</v>
      </c>
      <c r="I100" s="28">
        <f t="shared" si="13"/>
        <v>47385523.97058761</v>
      </c>
      <c r="J100" s="57">
        <f aca="true" t="shared" si="14" ref="J100:O100">+J70+J98</f>
        <v>53590015.47062509</v>
      </c>
      <c r="K100" s="57">
        <f t="shared" si="14"/>
        <v>54536158.852918826</v>
      </c>
      <c r="L100" s="57">
        <f t="shared" si="14"/>
        <v>60131422.94</v>
      </c>
      <c r="M100" s="57">
        <f t="shared" si="14"/>
        <v>61684886.575</v>
      </c>
      <c r="N100" s="57">
        <f t="shared" si="14"/>
        <v>63244644.301875</v>
      </c>
      <c r="O100" s="57">
        <f t="shared" si="14"/>
        <v>66174299.21242188</v>
      </c>
      <c r="P100" s="57">
        <f>+P70+P98</f>
        <v>66498154.3</v>
      </c>
      <c r="Q100" s="57">
        <f>+Q70+Q98</f>
        <v>69060053.635</v>
      </c>
      <c r="R100" s="57"/>
    </row>
    <row r="101" spans="4:18" ht="15.75" customHeight="1">
      <c r="D101" s="220">
        <f>+D100/C100-1</f>
        <v>0.08462184557408858</v>
      </c>
      <c r="E101" s="220">
        <f aca="true" t="shared" si="15" ref="E101:P101">+E100/D100-1</f>
        <v>0.08791256808314074</v>
      </c>
      <c r="F101" s="220">
        <f t="shared" si="15"/>
        <v>0.05638894111692716</v>
      </c>
      <c r="G101" s="220">
        <f t="shared" si="15"/>
        <v>0.05489759004235473</v>
      </c>
      <c r="H101" s="220">
        <f t="shared" si="15"/>
        <v>0.06402599213546178</v>
      </c>
      <c r="I101" s="220">
        <f t="shared" si="15"/>
        <v>-0.026256509610867007</v>
      </c>
      <c r="J101" s="220">
        <f t="shared" si="15"/>
        <v>0.13093643332695093</v>
      </c>
      <c r="K101" s="220">
        <f t="shared" si="15"/>
        <v>0.01765521756216626</v>
      </c>
      <c r="L101" s="220">
        <f t="shared" si="15"/>
        <v>0.1025973263384996</v>
      </c>
      <c r="M101" s="220">
        <f t="shared" si="15"/>
        <v>0.025834473209624065</v>
      </c>
      <c r="N101" s="220">
        <f t="shared" si="15"/>
        <v>0.02528589762386213</v>
      </c>
      <c r="O101" s="220">
        <f t="shared" si="15"/>
        <v>0.04632257707962184</v>
      </c>
      <c r="P101" s="220">
        <f t="shared" si="15"/>
        <v>0.0048939707927775356</v>
      </c>
      <c r="Q101" s="220">
        <f>+Q100/P100-1</f>
        <v>0.038525871311288595</v>
      </c>
      <c r="R101" s="220">
        <f>+R102/P102</f>
        <v>1.0540059173260912</v>
      </c>
    </row>
    <row r="102" spans="1:19" ht="15.75" customHeight="1">
      <c r="A102" s="105" t="s">
        <v>2571</v>
      </c>
      <c r="B102" s="62" t="s">
        <v>2572</v>
      </c>
      <c r="C102" s="187">
        <v>1163169</v>
      </c>
      <c r="D102" s="187">
        <v>1397619</v>
      </c>
      <c r="E102" s="8">
        <v>1632669</v>
      </c>
      <c r="F102" s="8">
        <f>1868994+157000</f>
        <v>2025994</v>
      </c>
      <c r="G102" s="8">
        <v>2194694</v>
      </c>
      <c r="H102" s="8">
        <v>2708294</v>
      </c>
      <c r="I102" s="8">
        <v>3310644</v>
      </c>
      <c r="J102" s="8">
        <v>3530649</v>
      </c>
      <c r="K102" s="8">
        <v>3530649</v>
      </c>
      <c r="L102" s="8">
        <v>2824519</v>
      </c>
      <c r="M102" s="8">
        <v>2824519</v>
      </c>
      <c r="N102" s="8">
        <f>2824519+178400</f>
        <v>3002919</v>
      </c>
      <c r="O102" s="8">
        <f>2824519+178400</f>
        <v>3002919</v>
      </c>
      <c r="P102" s="8">
        <v>3344078</v>
      </c>
      <c r="Q102" s="8">
        <v>3511000</v>
      </c>
      <c r="R102" s="8">
        <v>3524678</v>
      </c>
      <c r="S102" s="190">
        <f>+R102-Q102</f>
        <v>13678</v>
      </c>
    </row>
    <row r="103" spans="2:19" ht="15.75" customHeight="1">
      <c r="B103" s="62" t="s">
        <v>2579</v>
      </c>
      <c r="C103" s="187" t="s">
        <v>2579</v>
      </c>
      <c r="D103" s="187">
        <v>1041278</v>
      </c>
      <c r="E103" s="10">
        <v>1041278</v>
      </c>
      <c r="F103" s="10">
        <v>1087908</v>
      </c>
      <c r="G103" s="10">
        <v>1041278</v>
      </c>
      <c r="H103" s="10">
        <v>1041278</v>
      </c>
      <c r="I103" s="10">
        <v>1041278</v>
      </c>
      <c r="J103" s="8">
        <v>1041278</v>
      </c>
      <c r="K103" s="8">
        <v>882486</v>
      </c>
      <c r="L103" s="8">
        <v>827483</v>
      </c>
      <c r="M103" s="8">
        <v>827483</v>
      </c>
      <c r="N103" s="8">
        <v>827483</v>
      </c>
      <c r="O103" s="8">
        <v>827483</v>
      </c>
      <c r="P103" s="8">
        <v>827483</v>
      </c>
      <c r="Q103" s="8">
        <v>827483</v>
      </c>
      <c r="R103" s="8">
        <v>827483</v>
      </c>
      <c r="S103" s="190">
        <f>+R103-Q103</f>
        <v>0</v>
      </c>
    </row>
    <row r="104" spans="1:12" ht="18" customHeight="1" hidden="1">
      <c r="A104" s="105"/>
      <c r="B104" s="62" t="s">
        <v>2580</v>
      </c>
      <c r="C104" s="187">
        <f>61425+881</f>
        <v>62306</v>
      </c>
      <c r="D104" s="187">
        <v>57802</v>
      </c>
      <c r="E104" s="8">
        <v>66057</v>
      </c>
      <c r="F104" s="8">
        <v>76105</v>
      </c>
      <c r="G104" s="8">
        <v>76152</v>
      </c>
      <c r="H104" s="8">
        <v>70983</v>
      </c>
      <c r="I104" s="8">
        <v>68172</v>
      </c>
      <c r="J104" s="8">
        <v>130919</v>
      </c>
      <c r="K104" s="8">
        <v>85293</v>
      </c>
      <c r="L104" s="8" t="s">
        <v>1426</v>
      </c>
    </row>
    <row r="105" spans="1:17" ht="15.75" customHeight="1">
      <c r="A105" s="105"/>
      <c r="B105" s="62" t="s">
        <v>2581</v>
      </c>
      <c r="C105" s="187">
        <v>907902</v>
      </c>
      <c r="D105" s="187">
        <v>907902</v>
      </c>
      <c r="E105" s="8">
        <v>2007688</v>
      </c>
      <c r="F105" s="8">
        <v>4891635</v>
      </c>
      <c r="G105" s="8">
        <v>1099786</v>
      </c>
      <c r="H105" s="8">
        <v>1099786</v>
      </c>
      <c r="I105" s="8">
        <v>1099786</v>
      </c>
      <c r="J105" s="8">
        <v>1099786</v>
      </c>
      <c r="K105" s="8">
        <v>1099786</v>
      </c>
      <c r="L105" s="8">
        <v>1088788</v>
      </c>
      <c r="M105" s="8">
        <v>1099786</v>
      </c>
      <c r="N105" s="8">
        <v>1099786</v>
      </c>
      <c r="O105" s="8">
        <v>850000</v>
      </c>
      <c r="P105" s="8">
        <v>1099786</v>
      </c>
      <c r="Q105" s="8">
        <v>700000</v>
      </c>
    </row>
    <row r="106" spans="1:17" ht="15.75" customHeight="1">
      <c r="A106" s="105"/>
      <c r="B106" s="62" t="s">
        <v>1450</v>
      </c>
      <c r="C106" s="187"/>
      <c r="D106" s="187"/>
      <c r="L106" s="8">
        <v>1159</v>
      </c>
      <c r="N106" s="8">
        <v>1453</v>
      </c>
      <c r="O106" s="8">
        <v>1453</v>
      </c>
      <c r="P106" s="8">
        <v>22980</v>
      </c>
      <c r="Q106" s="8">
        <v>22980</v>
      </c>
    </row>
    <row r="107" spans="1:17" ht="15.75" customHeight="1">
      <c r="A107" s="105"/>
      <c r="B107" s="62" t="s">
        <v>1445</v>
      </c>
      <c r="C107" s="187"/>
      <c r="D107" s="187"/>
      <c r="M107" s="8">
        <v>132654</v>
      </c>
      <c r="N107" s="8" t="s">
        <v>2180</v>
      </c>
      <c r="O107" s="8" t="s">
        <v>2180</v>
      </c>
      <c r="P107" s="8" t="s">
        <v>2180</v>
      </c>
      <c r="Q107" s="8" t="s">
        <v>2180</v>
      </c>
    </row>
    <row r="108" spans="1:9" ht="12.75" hidden="1">
      <c r="A108" s="105"/>
      <c r="B108" s="62" t="s">
        <v>2582</v>
      </c>
      <c r="C108" s="187"/>
      <c r="D108" s="187">
        <v>3868</v>
      </c>
      <c r="E108" s="8">
        <v>0</v>
      </c>
      <c r="F108" s="8">
        <v>11324</v>
      </c>
      <c r="G108" s="8">
        <v>24088</v>
      </c>
      <c r="H108" s="8">
        <v>6176</v>
      </c>
      <c r="I108" s="8">
        <v>20274</v>
      </c>
    </row>
    <row r="109" spans="1:17" ht="15.75" customHeight="1">
      <c r="A109" s="105"/>
      <c r="B109" s="62" t="s">
        <v>1446</v>
      </c>
      <c r="C109" s="187"/>
      <c r="D109" s="187"/>
      <c r="M109" s="8">
        <v>23340</v>
      </c>
      <c r="N109" s="8">
        <v>17411</v>
      </c>
      <c r="O109" s="8">
        <v>17411</v>
      </c>
      <c r="P109" s="8">
        <v>0</v>
      </c>
      <c r="Q109" s="8">
        <v>0</v>
      </c>
    </row>
    <row r="110" spans="1:18" ht="15.75" customHeight="1">
      <c r="A110" s="105"/>
      <c r="B110" s="62" t="s">
        <v>2583</v>
      </c>
      <c r="C110" s="187">
        <v>120979</v>
      </c>
      <c r="D110" s="187">
        <v>109228</v>
      </c>
      <c r="E110" s="8">
        <v>155847</v>
      </c>
      <c r="F110" s="8">
        <v>148941</v>
      </c>
      <c r="G110" s="8">
        <v>157526</v>
      </c>
      <c r="H110" s="8">
        <v>173276</v>
      </c>
      <c r="I110" s="8">
        <v>204588</v>
      </c>
      <c r="J110" s="8">
        <v>206208</v>
      </c>
      <c r="K110" s="8">
        <v>206237</v>
      </c>
      <c r="L110" s="8">
        <v>228018</v>
      </c>
      <c r="M110" s="8">
        <v>186909</v>
      </c>
      <c r="N110" s="8">
        <v>213936</v>
      </c>
      <c r="O110" s="8">
        <v>213936</v>
      </c>
      <c r="P110" s="8">
        <v>217430</v>
      </c>
      <c r="Q110" s="8">
        <v>217430</v>
      </c>
      <c r="R110" s="220">
        <f>+R113/P113</f>
        <v>1.0141128980697063</v>
      </c>
    </row>
    <row r="111" spans="1:9" ht="15.75" customHeight="1" hidden="1">
      <c r="A111" s="105"/>
      <c r="B111" s="62" t="s">
        <v>2584</v>
      </c>
      <c r="C111" s="187">
        <v>0</v>
      </c>
      <c r="D111" s="187">
        <v>0</v>
      </c>
      <c r="E111" s="8">
        <v>0</v>
      </c>
      <c r="H111" s="8">
        <v>1485</v>
      </c>
      <c r="I111" s="8">
        <v>1485</v>
      </c>
    </row>
    <row r="112" spans="1:10" ht="14.25" customHeight="1" hidden="1">
      <c r="A112" s="105"/>
      <c r="B112" s="62" t="s">
        <v>2585</v>
      </c>
      <c r="C112" s="187">
        <v>68272</v>
      </c>
      <c r="D112" s="187">
        <v>68272</v>
      </c>
      <c r="E112" s="8">
        <v>68272</v>
      </c>
      <c r="F112" s="8">
        <v>68272</v>
      </c>
      <c r="G112" s="8">
        <v>68272</v>
      </c>
      <c r="H112" s="8">
        <v>68272</v>
      </c>
      <c r="I112" s="8">
        <v>68272</v>
      </c>
      <c r="J112" s="8">
        <v>17068</v>
      </c>
    </row>
    <row r="113" spans="1:19" ht="15.75" customHeight="1">
      <c r="A113" s="105"/>
      <c r="B113" s="62" t="s">
        <v>2586</v>
      </c>
      <c r="C113" s="187">
        <v>993262</v>
      </c>
      <c r="D113" s="187">
        <v>1112572</v>
      </c>
      <c r="E113" s="8">
        <v>1209515</v>
      </c>
      <c r="F113" s="8">
        <v>1385967</v>
      </c>
      <c r="G113" s="8">
        <v>1576411</v>
      </c>
      <c r="H113" s="8">
        <v>1759424</v>
      </c>
      <c r="I113" s="8">
        <v>1980139</v>
      </c>
      <c r="J113" s="8">
        <v>1789170</v>
      </c>
      <c r="K113" s="8">
        <v>1621883</v>
      </c>
      <c r="L113" s="8">
        <v>1520795</v>
      </c>
      <c r="M113" s="8">
        <v>1520795</v>
      </c>
      <c r="N113" s="8">
        <v>1690438</v>
      </c>
      <c r="O113" s="8">
        <v>1690438</v>
      </c>
      <c r="P113" s="8">
        <v>1955091</v>
      </c>
      <c r="Q113" s="8">
        <v>1955091</v>
      </c>
      <c r="R113" s="8">
        <v>1982683</v>
      </c>
      <c r="S113" s="190">
        <f>+R113-Q113</f>
        <v>27592</v>
      </c>
    </row>
    <row r="114" spans="1:19" ht="15.75" customHeight="1">
      <c r="A114" s="105"/>
      <c r="B114" s="62" t="s">
        <v>2587</v>
      </c>
      <c r="C114" s="187">
        <v>3436</v>
      </c>
      <c r="D114" s="187">
        <v>2188</v>
      </c>
      <c r="E114" s="8">
        <v>2188</v>
      </c>
      <c r="F114" s="8">
        <v>18238</v>
      </c>
      <c r="G114" s="8">
        <v>17388</v>
      </c>
      <c r="H114" s="8">
        <v>16613</v>
      </c>
      <c r="I114" s="8">
        <v>16613</v>
      </c>
      <c r="J114" s="8">
        <v>34500</v>
      </c>
      <c r="K114" s="8">
        <v>24475</v>
      </c>
      <c r="L114" s="8">
        <v>23325</v>
      </c>
      <c r="M114" s="8">
        <v>24475</v>
      </c>
      <c r="N114" s="8">
        <v>23325</v>
      </c>
      <c r="O114" s="8">
        <v>23325</v>
      </c>
      <c r="P114" s="8">
        <v>22363</v>
      </c>
      <c r="Q114" s="8">
        <v>22363</v>
      </c>
      <c r="S114" s="190">
        <f>SUM(S102:S113)</f>
        <v>41270</v>
      </c>
    </row>
    <row r="115" spans="1:9" ht="12.75" hidden="1">
      <c r="A115" s="105"/>
      <c r="B115" s="62" t="s">
        <v>2588</v>
      </c>
      <c r="C115" s="187">
        <v>3063</v>
      </c>
      <c r="D115" s="187">
        <v>2713</v>
      </c>
      <c r="E115" s="8">
        <v>2713</v>
      </c>
      <c r="F115" s="8">
        <v>2975</v>
      </c>
      <c r="G115" s="8">
        <v>2800</v>
      </c>
      <c r="H115" s="8">
        <v>2888</v>
      </c>
      <c r="I115" s="8">
        <v>2888</v>
      </c>
    </row>
    <row r="116" spans="1:9" ht="12.75" hidden="1">
      <c r="A116" s="105"/>
      <c r="B116" s="62" t="s">
        <v>2589</v>
      </c>
      <c r="C116" s="187">
        <v>6475</v>
      </c>
      <c r="D116" s="187">
        <v>6475</v>
      </c>
      <c r="E116" s="8">
        <v>6475</v>
      </c>
      <c r="F116" s="8">
        <v>6475</v>
      </c>
      <c r="G116" s="8">
        <v>6475</v>
      </c>
      <c r="H116" s="8">
        <v>6475</v>
      </c>
      <c r="I116" s="8">
        <v>6475</v>
      </c>
    </row>
    <row r="117" spans="1:17" ht="15.75" customHeight="1">
      <c r="A117" s="105"/>
      <c r="B117" s="62" t="s">
        <v>2590</v>
      </c>
      <c r="C117" s="187">
        <v>26674</v>
      </c>
      <c r="D117" s="187">
        <v>26658</v>
      </c>
      <c r="E117" s="8">
        <v>26642</v>
      </c>
      <c r="F117" s="8">
        <v>26638</v>
      </c>
      <c r="G117" s="8">
        <v>26634</v>
      </c>
      <c r="H117" s="8">
        <v>26618</v>
      </c>
      <c r="I117" s="8">
        <v>24096</v>
      </c>
      <c r="J117" s="116">
        <v>18200</v>
      </c>
      <c r="K117" s="116">
        <v>42371</v>
      </c>
      <c r="L117" s="8">
        <v>17570</v>
      </c>
      <c r="M117" s="8">
        <v>17570</v>
      </c>
      <c r="N117" s="8">
        <v>25602</v>
      </c>
      <c r="O117" s="8">
        <v>25602</v>
      </c>
      <c r="P117" s="8">
        <v>26606</v>
      </c>
      <c r="Q117" s="8">
        <v>26606</v>
      </c>
    </row>
    <row r="118" spans="1:17" ht="12.75" hidden="1">
      <c r="A118" s="105"/>
      <c r="B118" s="62" t="s">
        <v>2591</v>
      </c>
      <c r="C118" s="187">
        <v>485</v>
      </c>
      <c r="D118" s="187">
        <v>0</v>
      </c>
      <c r="E118" s="8">
        <v>0</v>
      </c>
      <c r="H118" s="8">
        <v>19417</v>
      </c>
      <c r="I118" s="8">
        <v>11076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2">
        <v>0</v>
      </c>
      <c r="P118" s="112">
        <v>0</v>
      </c>
      <c r="Q118" s="112">
        <v>0</v>
      </c>
    </row>
    <row r="119" spans="1:18" ht="15.75" customHeight="1">
      <c r="A119" s="105"/>
      <c r="B119" s="103" t="s">
        <v>2592</v>
      </c>
      <c r="C119" s="188">
        <f aca="true" t="shared" si="16" ref="C119:J119">SUM(C102:C118)</f>
        <v>3356023</v>
      </c>
      <c r="D119" s="188">
        <f t="shared" si="16"/>
        <v>4736575</v>
      </c>
      <c r="E119" s="28">
        <f t="shared" si="16"/>
        <v>6219344</v>
      </c>
      <c r="F119" s="28">
        <f t="shared" si="16"/>
        <v>9750472</v>
      </c>
      <c r="G119" s="28">
        <f t="shared" si="16"/>
        <v>6291504</v>
      </c>
      <c r="H119" s="28">
        <f t="shared" si="16"/>
        <v>7000985</v>
      </c>
      <c r="I119" s="28">
        <f t="shared" si="16"/>
        <v>7855786</v>
      </c>
      <c r="J119" s="57">
        <f t="shared" si="16"/>
        <v>7867778</v>
      </c>
      <c r="K119" s="57">
        <f aca="true" t="shared" si="17" ref="K119:Q119">SUM(K102:K118)</f>
        <v>7493180</v>
      </c>
      <c r="L119" s="57">
        <f t="shared" si="17"/>
        <v>6531657</v>
      </c>
      <c r="M119" s="57">
        <f t="shared" si="17"/>
        <v>6657531</v>
      </c>
      <c r="N119" s="57">
        <f t="shared" si="17"/>
        <v>6902353</v>
      </c>
      <c r="O119" s="57">
        <f t="shared" si="17"/>
        <v>6652567</v>
      </c>
      <c r="P119" s="57">
        <f t="shared" si="17"/>
        <v>7515817</v>
      </c>
      <c r="Q119" s="57">
        <f t="shared" si="17"/>
        <v>7282953</v>
      </c>
      <c r="R119" s="57"/>
    </row>
    <row r="120" spans="1:4" ht="10.5" customHeight="1">
      <c r="A120" s="105"/>
      <c r="B120" s="62"/>
      <c r="C120" s="187"/>
      <c r="D120" s="187"/>
    </row>
    <row r="121" spans="1:170" s="120" customFormat="1" ht="15.75" customHeight="1">
      <c r="A121" s="117"/>
      <c r="B121" s="117" t="s">
        <v>1430</v>
      </c>
      <c r="C121" s="189">
        <f aca="true" t="shared" si="18" ref="C121:K121">C100+C119</f>
        <v>38137049.489999995</v>
      </c>
      <c r="D121" s="189">
        <f t="shared" si="18"/>
        <v>42460836.14254506</v>
      </c>
      <c r="E121" s="118">
        <f t="shared" si="18"/>
        <v>47260041.818625234</v>
      </c>
      <c r="F121" s="118">
        <f t="shared" si="18"/>
        <v>53105411.311317295</v>
      </c>
      <c r="G121" s="118">
        <f t="shared" si="18"/>
        <v>52026524.99594116</v>
      </c>
      <c r="H121" s="118">
        <f t="shared" si="18"/>
        <v>55664236.09054247</v>
      </c>
      <c r="I121" s="118">
        <f t="shared" si="18"/>
        <v>55241309.97058761</v>
      </c>
      <c r="J121" s="28">
        <f t="shared" si="18"/>
        <v>61457793.47062509</v>
      </c>
      <c r="K121" s="28">
        <f t="shared" si="18"/>
        <v>62029338.852918826</v>
      </c>
      <c r="L121" s="118">
        <f aca="true" t="shared" si="19" ref="L121:Q121">SUM(L119+L100)</f>
        <v>66663079.94</v>
      </c>
      <c r="M121" s="118">
        <f t="shared" si="19"/>
        <v>68342417.575</v>
      </c>
      <c r="N121" s="118">
        <f t="shared" si="19"/>
        <v>70146997.301875</v>
      </c>
      <c r="O121" s="118">
        <f t="shared" si="19"/>
        <v>72826866.21242188</v>
      </c>
      <c r="P121" s="118">
        <f t="shared" si="19"/>
        <v>74013971.3</v>
      </c>
      <c r="Q121" s="118">
        <f t="shared" si="19"/>
        <v>76343006.635</v>
      </c>
      <c r="R121" s="118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/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/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19"/>
      <c r="DG121" s="119"/>
      <c r="DH121" s="119"/>
      <c r="DI121" s="119"/>
      <c r="DJ121" s="119"/>
      <c r="DK121" s="119"/>
      <c r="DL121" s="119"/>
      <c r="DM121" s="119"/>
      <c r="DN121" s="119"/>
      <c r="DO121" s="119"/>
      <c r="DP121" s="119"/>
      <c r="DQ121" s="119"/>
      <c r="DR121" s="119"/>
      <c r="DS121" s="119"/>
      <c r="DT121" s="119"/>
      <c r="DU121" s="119"/>
      <c r="DV121" s="119"/>
      <c r="DW121" s="119"/>
      <c r="DX121" s="119"/>
      <c r="DY121" s="119"/>
      <c r="DZ121" s="119"/>
      <c r="EA121" s="119"/>
      <c r="EB121" s="119"/>
      <c r="EC121" s="119"/>
      <c r="ED121" s="119"/>
      <c r="EE121" s="119"/>
      <c r="EF121" s="119"/>
      <c r="EG121" s="119"/>
      <c r="EH121" s="119"/>
      <c r="EI121" s="119"/>
      <c r="EJ121" s="119"/>
      <c r="EK121" s="119"/>
      <c r="EL121" s="119"/>
      <c r="EM121" s="119"/>
      <c r="EN121" s="119"/>
      <c r="EO121" s="119"/>
      <c r="EP121" s="119"/>
      <c r="EQ121" s="119"/>
      <c r="ER121" s="119"/>
      <c r="ES121" s="119"/>
      <c r="ET121" s="119"/>
      <c r="EU121" s="119"/>
      <c r="EV121" s="119"/>
      <c r="EW121" s="119"/>
      <c r="EX121" s="119"/>
      <c r="EY121" s="119"/>
      <c r="EZ121" s="119"/>
      <c r="FA121" s="119"/>
      <c r="FB121" s="119"/>
      <c r="FC121" s="119"/>
      <c r="FD121" s="119"/>
      <c r="FE121" s="119"/>
      <c r="FF121" s="119"/>
      <c r="FG121" s="119"/>
      <c r="FH121" s="119"/>
      <c r="FI121" s="119"/>
      <c r="FJ121" s="119"/>
      <c r="FK121" s="119"/>
      <c r="FL121" s="119"/>
      <c r="FM121" s="119"/>
      <c r="FN121" s="119"/>
    </row>
    <row r="122" spans="2:18" ht="15.75" customHeight="1">
      <c r="B122" s="3" t="s">
        <v>2822</v>
      </c>
      <c r="D122" s="220">
        <f aca="true" t="shared" si="20" ref="D122:P122">+D121/C121-1</f>
        <v>0.11337496503705191</v>
      </c>
      <c r="E122" s="220">
        <f t="shared" si="20"/>
        <v>0.1130266408313012</v>
      </c>
      <c r="F122" s="220">
        <f t="shared" si="20"/>
        <v>0.12368523741738202</v>
      </c>
      <c r="G122" s="220">
        <f t="shared" si="20"/>
        <v>-0.020315939350350365</v>
      </c>
      <c r="H122" s="220">
        <f t="shared" si="20"/>
        <v>0.0699203165094171</v>
      </c>
      <c r="I122" s="220">
        <f t="shared" si="20"/>
        <v>-0.007597806952150399</v>
      </c>
      <c r="J122" s="220">
        <f t="shared" si="20"/>
        <v>0.11253323832015116</v>
      </c>
      <c r="K122" s="220">
        <f t="shared" si="20"/>
        <v>0.009299803166004095</v>
      </c>
      <c r="L122" s="220">
        <f t="shared" si="20"/>
        <v>0.07470240974304909</v>
      </c>
      <c r="M122" s="220">
        <f t="shared" si="20"/>
        <v>0.025191419846060104</v>
      </c>
      <c r="N122" s="220">
        <f t="shared" si="20"/>
        <v>0.0264049735275258</v>
      </c>
      <c r="O122" s="220">
        <f t="shared" si="20"/>
        <v>0.03820361545932127</v>
      </c>
      <c r="P122" s="220">
        <f t="shared" si="20"/>
        <v>0.016300373053476758</v>
      </c>
      <c r="Q122" s="220">
        <f>+Q121/P121-1</f>
        <v>0.031467509364681456</v>
      </c>
      <c r="R122" s="220"/>
    </row>
    <row r="123" ht="15.75" customHeight="1">
      <c r="B123" s="3" t="s">
        <v>2821</v>
      </c>
    </row>
    <row r="126" ht="15.75" customHeight="1">
      <c r="B126" s="38" t="s">
        <v>1435</v>
      </c>
    </row>
    <row r="127" spans="2:17" ht="15.75" customHeight="1">
      <c r="B127" s="3" t="s">
        <v>1432</v>
      </c>
      <c r="J127" s="8">
        <v>3841076</v>
      </c>
      <c r="K127" s="8">
        <v>3878409</v>
      </c>
      <c r="L127" s="8">
        <v>3584925</v>
      </c>
      <c r="M127" s="8">
        <f>'Water Ent'!K121</f>
        <v>3912649.53</v>
      </c>
      <c r="N127" s="8">
        <f>'Water Ent'!L124</f>
        <v>4104058</v>
      </c>
      <c r="O127" s="8">
        <f>'Water Ent'!M124</f>
        <v>4160708</v>
      </c>
      <c r="P127" s="8">
        <f>'Water Ent'!M124</f>
        <v>4160708</v>
      </c>
      <c r="Q127" s="8">
        <f>'Water Ent'!O124</f>
        <v>4155269</v>
      </c>
    </row>
    <row r="128" spans="2:18" ht="15.75" customHeight="1">
      <c r="B128" s="3" t="s">
        <v>1433</v>
      </c>
      <c r="J128" s="8">
        <v>0</v>
      </c>
      <c r="K128" s="8">
        <v>0</v>
      </c>
      <c r="L128" s="8">
        <v>0</v>
      </c>
      <c r="M128" s="8">
        <v>0</v>
      </c>
      <c r="N128" s="8">
        <f>'Water Ent'!L125</f>
        <v>253161</v>
      </c>
      <c r="O128" s="159">
        <f>'Water Ent'!M125</f>
        <v>368000</v>
      </c>
      <c r="P128" s="159">
        <f>'Water Ent'!M125</f>
        <v>368000</v>
      </c>
      <c r="Q128" s="159" t="s">
        <v>1950</v>
      </c>
      <c r="R128" s="159"/>
    </row>
    <row r="129" spans="2:20" ht="15.75" customHeight="1">
      <c r="B129" s="3" t="s">
        <v>1434</v>
      </c>
      <c r="J129" s="8">
        <v>5016989</v>
      </c>
      <c r="K129" s="8">
        <v>4963349</v>
      </c>
      <c r="L129" s="8">
        <v>5820565</v>
      </c>
      <c r="M129" s="8">
        <f>'Sewer Ent'!K80</f>
        <v>6103847.2299999995</v>
      </c>
      <c r="N129" s="8">
        <v>5193328</v>
      </c>
      <c r="O129" s="8">
        <f>'Sewer Ent'!M80</f>
        <v>5603953</v>
      </c>
      <c r="P129" s="8">
        <f>'Sewer Ent'!M80</f>
        <v>5603953</v>
      </c>
      <c r="Q129" s="8">
        <f>'Sewer Ent'!$O$80</f>
        <v>6072737</v>
      </c>
      <c r="S129" s="3" t="s">
        <v>2180</v>
      </c>
      <c r="T129" s="3" t="s">
        <v>2180</v>
      </c>
    </row>
    <row r="131" spans="2:17" ht="15.75" customHeight="1">
      <c r="B131" s="3" t="s">
        <v>2820</v>
      </c>
      <c r="J131" s="8">
        <f>'Chap 90'!F10</f>
        <v>131469.69</v>
      </c>
      <c r="K131" s="8">
        <f>'Chap 90'!G10</f>
        <v>551103.12</v>
      </c>
      <c r="L131" s="8">
        <f>'Chap 90'!H10</f>
        <v>265692.52</v>
      </c>
      <c r="M131" s="8">
        <v>0</v>
      </c>
      <c r="N131" s="8">
        <f>'Chap 90'!$J$10</f>
        <v>224136.31</v>
      </c>
      <c r="O131" s="8">
        <f>'Chap 90'!$K$10</f>
        <v>647292</v>
      </c>
      <c r="P131" s="8">
        <f>'Chap 90'!$K$10</f>
        <v>647292</v>
      </c>
      <c r="Q131" s="8">
        <f>'Chap 90'!$L$10</f>
        <v>323538</v>
      </c>
    </row>
  </sheetData>
  <sheetProtection/>
  <printOptions/>
  <pageMargins left="0.75" right="0.75" top="1" bottom="1" header="0.5" footer="0.5"/>
  <pageSetup horizontalDpi="600" verticalDpi="600" orientation="landscape" scale="86" r:id="rId3"/>
  <headerFooter alignWithMargins="0">
    <oddHeader>&amp;C&amp;"Arial,Bold"&amp;12TOWN OF BELMONT BUDGET FY2007
REVENUE PROJECTIONS WITHOUT AN OPERATING OVERRIDE&amp;11
</oddHeader>
    <oddFooter>&amp;LGeneral Fund Revenues&amp;C&amp;P of &amp;N&amp;R&amp;D</oddFooter>
  </headerFooter>
  <rowBreaks count="3" manualBreakCount="3">
    <brk id="32" min="1" max="16" man="1"/>
    <brk id="70" min="1" max="16" man="1"/>
    <brk id="100" min="1" max="16" man="1"/>
  </rowBreaks>
  <colBreaks count="1" manualBreakCount="1">
    <brk id="1" min="1" max="11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Belmont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Warzybok</dc:creator>
  <cp:keywords/>
  <dc:description/>
  <cp:lastModifiedBy>William Brownsberger</cp:lastModifiedBy>
  <cp:lastPrinted>2007-02-17T22:04:33Z</cp:lastPrinted>
  <dcterms:created xsi:type="dcterms:W3CDTF">2001-10-23T19:55:14Z</dcterms:created>
  <dcterms:modified xsi:type="dcterms:W3CDTF">2007-02-28T22:49:21Z</dcterms:modified>
  <cp:category/>
  <cp:version/>
  <cp:contentType/>
  <cp:contentStatus/>
</cp:coreProperties>
</file>