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1"/>
  </bookViews>
  <sheets>
    <sheet name="COMMENTS" sheetId="1" r:id="rId1"/>
    <sheet name="Summary Sheet" sheetId="2" r:id="rId2"/>
    <sheet name="Allocation of FY08 new money" sheetId="3" r:id="rId3"/>
    <sheet name="Allocation of FY07 new money" sheetId="4" r:id="rId4"/>
    <sheet name=" FY06 ProForma to Budget" sheetId="5" r:id="rId5"/>
    <sheet name="Net Increases town &amp; school " sheetId="6" r:id="rId6"/>
    <sheet name="a" sheetId="7" r:id="rId7"/>
    <sheet name="Final FY05 split" sheetId="8" r:id="rId8"/>
    <sheet name="Debt Schedule" sheetId="9" r:id="rId9"/>
    <sheet name="FY07 Voted" sheetId="10" r:id="rId10"/>
    <sheet name="x" sheetId="11" r:id="rId11"/>
    <sheet name="FY06 Detail" sheetId="12" r:id="rId12"/>
    <sheet name="Solid Waste " sheetId="13" r:id="rId13"/>
    <sheet name="FY05 Detail" sheetId="14" r:id="rId14"/>
    <sheet name="FY04 Detail" sheetId="15" r:id="rId15"/>
    <sheet name="FY03 Detail" sheetId="16" r:id="rId16"/>
  </sheets>
  <definedNames>
    <definedName name="_xlnm.Print_Area" localSheetId="4">' FY06 ProForma to Budget'!$A$1:$I$113</definedName>
    <definedName name="_xlnm.Print_Area" localSheetId="6">'a'!$A$1:$T$58</definedName>
    <definedName name="_xlnm.Print_Area" localSheetId="3">'Allocation of FY07 new money'!$A$1:$E$53</definedName>
    <definedName name="_xlnm.Print_Area" localSheetId="2">'Allocation of FY08 new money'!$A$1:$E$54</definedName>
    <definedName name="_xlnm.Print_Area" localSheetId="11">'FY06 Detail'!$A$1:$T$76</definedName>
    <definedName name="_xlnm.Print_Area" localSheetId="5">'Net Increases town &amp; school '!$A$1:$T$84</definedName>
    <definedName name="_xlnm.Print_Area" localSheetId="1">'Summary Sheet'!$A$1:$AH$223</definedName>
    <definedName name="_xlnm.Print_Titles" localSheetId="8">'Debt Schedule'!$A:$B,'Debt Schedule'!$5:$5</definedName>
    <definedName name="_xlnm.Print_Titles" localSheetId="5">'Net Increases town &amp; school '!$2:$3</definedName>
    <definedName name="_xlnm.Print_Titles" localSheetId="1">'Summary Sheet'!$1:$2</definedName>
  </definedNames>
  <calcPr fullCalcOnLoad="1"/>
</workbook>
</file>

<file path=xl/sharedStrings.xml><?xml version="1.0" encoding="utf-8"?>
<sst xmlns="http://schemas.openxmlformats.org/spreadsheetml/2006/main" count="1762" uniqueCount="653">
  <si>
    <t>FY 02</t>
  </si>
  <si>
    <t>BUDGET</t>
  </si>
  <si>
    <t>% INCR</t>
  </si>
  <si>
    <t>FY 03</t>
  </si>
  <si>
    <t>FY 04</t>
  </si>
  <si>
    <t>FYO5</t>
  </si>
  <si>
    <t>FY 06</t>
  </si>
  <si>
    <t>FY 07</t>
  </si>
  <si>
    <t>EXPENSE LINE ITEM</t>
  </si>
  <si>
    <t>SALARIES &amp; WAGES - TOWN</t>
  </si>
  <si>
    <t>RETIREMENT (EXCL TEACHERS)</t>
  </si>
  <si>
    <t>MINUTEMAN VOCATIONAL</t>
  </si>
  <si>
    <t>RESERVE FUND</t>
  </si>
  <si>
    <t>OVERLAY RESERVE-ABATEMENT</t>
  </si>
  <si>
    <t>SEWER</t>
  </si>
  <si>
    <t>WATER</t>
  </si>
  <si>
    <t xml:space="preserve"> </t>
  </si>
  <si>
    <t xml:space="preserve">  SUB-TOTAL ENTERPRISE</t>
  </si>
  <si>
    <t>ROAD CAPITAL</t>
  </si>
  <si>
    <t>OTHER CAPITAL</t>
  </si>
  <si>
    <t xml:space="preserve">  SUB-TOTAL CAPITAL</t>
  </si>
  <si>
    <t>N/A</t>
  </si>
  <si>
    <t>ACTUAL</t>
  </si>
  <si>
    <t>REVENUE LINE ITEM</t>
  </si>
  <si>
    <t xml:space="preserve">PROPERTY TAXES </t>
  </si>
  <si>
    <t xml:space="preserve">  GROWTH</t>
  </si>
  <si>
    <t xml:space="preserve">      TOTAL PROPERTY TAXES</t>
  </si>
  <si>
    <t>MOTOR VEHICLE EXCISE</t>
  </si>
  <si>
    <t>ADDED INTEREST COST</t>
  </si>
  <si>
    <t xml:space="preserve">   </t>
  </si>
  <si>
    <t xml:space="preserve">   TOTAL TAXES &amp; COST</t>
  </si>
  <si>
    <t>DEPARTMENTAL</t>
  </si>
  <si>
    <t>LIBRARIES</t>
  </si>
  <si>
    <t>RECREATIONAL</t>
  </si>
  <si>
    <t>OTHER</t>
  </si>
  <si>
    <t xml:space="preserve">     TOTAL DEPARTMENT</t>
  </si>
  <si>
    <t>INTEREST ON INVESTMENT</t>
  </si>
  <si>
    <t xml:space="preserve">    </t>
  </si>
  <si>
    <t>TOTAL RESTRICTED</t>
  </si>
  <si>
    <t>REVENUE OVER/((UNDER) EXPENSES:</t>
  </si>
  <si>
    <t>ACT</t>
  </si>
  <si>
    <t>BUD</t>
  </si>
  <si>
    <t>EXP REDUX/OPERATING O'RIDE REQ'D:</t>
  </si>
  <si>
    <t xml:space="preserve">      TOTAL EXPENSE BUDGET </t>
  </si>
  <si>
    <t>CHAPTER 90-ROAD</t>
  </si>
  <si>
    <t>UTILITIES</t>
  </si>
  <si>
    <t>MAINTENANCE</t>
  </si>
  <si>
    <t>SUPPLIES</t>
  </si>
  <si>
    <t>MBTA</t>
  </si>
  <si>
    <t>DISPOSAL</t>
  </si>
  <si>
    <t>COLLECTION</t>
  </si>
  <si>
    <t>FOOTNOTES</t>
  </si>
  <si>
    <t xml:space="preserve"> NET EXCLUSION</t>
  </si>
  <si>
    <t xml:space="preserve"> - LIGHT DEPT </t>
  </si>
  <si>
    <t xml:space="preserve">      TOTAL</t>
  </si>
  <si>
    <t>FEES &amp; FINES (COURT,PARKING)</t>
  </si>
  <si>
    <t>LICENSES &amp; PERMITS (BUILDING)</t>
  </si>
  <si>
    <t>TOTAL STATE AID</t>
  </si>
  <si>
    <t>TOTAL STATE CHARGES</t>
  </si>
  <si>
    <r>
      <t xml:space="preserve">  INCR UNDER 2 1/2</t>
    </r>
    <r>
      <rPr>
        <vertAlign val="superscript"/>
        <sz val="10"/>
        <rFont val="Arial"/>
        <family val="2"/>
      </rPr>
      <t>1</t>
    </r>
  </si>
  <si>
    <r>
      <t xml:space="preserve">  MCLEAN PROPERTY TAX</t>
    </r>
    <r>
      <rPr>
        <vertAlign val="superscript"/>
        <sz val="10"/>
        <rFont val="Arial"/>
        <family val="2"/>
      </rPr>
      <t>2</t>
    </r>
  </si>
  <si>
    <r>
      <t xml:space="preserve">  DEBT EXCLUSION </t>
    </r>
    <r>
      <rPr>
        <vertAlign val="superscript"/>
        <sz val="10"/>
        <rFont val="Arial"/>
        <family val="2"/>
      </rPr>
      <t>3</t>
    </r>
  </si>
  <si>
    <t xml:space="preserve">2  ASSUMES NO  MCLEAN, ALEWIFE OR OTHER DEVELOPMENT.  </t>
  </si>
  <si>
    <t>CHENERY STATE REIMB</t>
  </si>
  <si>
    <r>
      <t>PAYMENT IN LIEU OF TAXES</t>
    </r>
    <r>
      <rPr>
        <vertAlign val="superscript"/>
        <sz val="10"/>
        <rFont val="Arial"/>
        <family val="2"/>
      </rPr>
      <t>4</t>
    </r>
  </si>
  <si>
    <r>
      <t>OTHER</t>
    </r>
    <r>
      <rPr>
        <vertAlign val="superscript"/>
        <sz val="10"/>
        <rFont val="Arial"/>
        <family val="2"/>
      </rPr>
      <t>5</t>
    </r>
  </si>
  <si>
    <r>
      <t>STATE AID</t>
    </r>
    <r>
      <rPr>
        <vertAlign val="superscript"/>
        <sz val="10"/>
        <rFont val="Arial"/>
        <family val="2"/>
      </rPr>
      <t>6</t>
    </r>
  </si>
  <si>
    <r>
      <t>TRANSFERS &amp; OTHER</t>
    </r>
    <r>
      <rPr>
        <vertAlign val="superscript"/>
        <sz val="10"/>
        <rFont val="Arial"/>
        <family val="2"/>
      </rPr>
      <t>7</t>
    </r>
  </si>
  <si>
    <t>6 STATE AID:</t>
  </si>
  <si>
    <t>SCHOOL CHAP 70</t>
  </si>
  <si>
    <t>SCHOOL CONSTRUCTION</t>
  </si>
  <si>
    <t>LOTTERY</t>
  </si>
  <si>
    <t>ALL OTHER</t>
  </si>
  <si>
    <t>7 TRANSFERS &amp; OTHER</t>
  </si>
  <si>
    <t>STABILIZATION FUND</t>
  </si>
  <si>
    <t>FREE CASH</t>
  </si>
  <si>
    <t>PARKING FINES</t>
  </si>
  <si>
    <t>OVERLAY RESERVE</t>
  </si>
  <si>
    <r>
      <t>HEALTH  (ACTIVE &amp; RETIRED</t>
    </r>
    <r>
      <rPr>
        <vertAlign val="superscript"/>
        <sz val="10"/>
        <rFont val="Arial"/>
        <family val="2"/>
      </rPr>
      <t>)8</t>
    </r>
  </si>
  <si>
    <r>
      <t>SCHOOL NON-SALARIES</t>
    </r>
    <r>
      <rPr>
        <vertAlign val="superscript"/>
        <sz val="10"/>
        <rFont val="Arial"/>
        <family val="2"/>
      </rPr>
      <t>9</t>
    </r>
  </si>
  <si>
    <r>
      <t>STATE CHARGES</t>
    </r>
    <r>
      <rPr>
        <vertAlign val="superscript"/>
        <sz val="10"/>
        <rFont val="Arial"/>
        <family val="2"/>
      </rPr>
      <t>10</t>
    </r>
  </si>
  <si>
    <r>
      <t>TOWN NON-SALARY</t>
    </r>
    <r>
      <rPr>
        <vertAlign val="superscript"/>
        <sz val="10"/>
        <rFont val="Arial"/>
        <family val="2"/>
      </rPr>
      <t>11</t>
    </r>
  </si>
  <si>
    <t>10 STATE CHARGES</t>
  </si>
  <si>
    <t>11 TOWN NON-SALARY</t>
  </si>
  <si>
    <t>TRANSPORTATION</t>
  </si>
  <si>
    <t>TEACHING</t>
  </si>
  <si>
    <t>PSYCHOLOGICAL SVCS</t>
  </si>
  <si>
    <t>CUSTODIAL</t>
  </si>
  <si>
    <t>FUEL</t>
  </si>
  <si>
    <r>
      <t>SOLID WASTE COLLECTION</t>
    </r>
    <r>
      <rPr>
        <vertAlign val="superscript"/>
        <sz val="10"/>
        <rFont val="Arial"/>
        <family val="2"/>
      </rPr>
      <t>12</t>
    </r>
  </si>
  <si>
    <t>12.  SOLID WASTE COLLECTION</t>
  </si>
  <si>
    <r>
      <t xml:space="preserve">            (EXCLUDING ENTERPRISE)</t>
    </r>
    <r>
      <rPr>
        <vertAlign val="superscript"/>
        <sz val="10"/>
        <rFont val="Arial"/>
        <family val="2"/>
      </rPr>
      <t>13</t>
    </r>
  </si>
  <si>
    <t>TTL REVENUE BUDGET (EXCLUDING</t>
  </si>
  <si>
    <r>
      <t>RESTRICTED)</t>
    </r>
    <r>
      <rPr>
        <vertAlign val="superscript"/>
        <sz val="10"/>
        <rFont val="Arial"/>
        <family val="2"/>
      </rPr>
      <t>13</t>
    </r>
  </si>
  <si>
    <t xml:space="preserve">   TOTAL SOLID WASTE</t>
  </si>
  <si>
    <t>3  DEBT EXCLUSION:  CHENERY DEBT</t>
  </si>
  <si>
    <t xml:space="preserve">             TOTAL TRANSFERS &amp; OTHER</t>
  </si>
  <si>
    <t xml:space="preserve">         TOTAL SCHOOL NON-SALARY</t>
  </si>
  <si>
    <t xml:space="preserve">         TOTAL TOWN NON-SALARY</t>
  </si>
  <si>
    <t>MCLEAN SERVICES</t>
  </si>
  <si>
    <t>CEMETERIES</t>
  </si>
  <si>
    <t>FY02</t>
  </si>
  <si>
    <t>FY03</t>
  </si>
  <si>
    <t>FY04</t>
  </si>
  <si>
    <t>FY05</t>
  </si>
  <si>
    <t>FY06</t>
  </si>
  <si>
    <t>FY07</t>
  </si>
  <si>
    <t>ATHLETIC COMPLEX</t>
  </si>
  <si>
    <t>OUTSIDE SERV.</t>
  </si>
  <si>
    <t>13 SEWER &amp; WATER REVENUE</t>
  </si>
  <si>
    <t xml:space="preserve">    SEWER &amp; WATER EXPENSES</t>
  </si>
  <si>
    <t>EST TAX RATE FROM OPER BUD (A)</t>
  </si>
  <si>
    <t>OPERATING BUDGET TAX RATE (A+B)</t>
  </si>
  <si>
    <t xml:space="preserve">   EXPENDITURES ( C )</t>
  </si>
  <si>
    <t>TOTAL TAX RATE (A + B + C)</t>
  </si>
  <si>
    <t xml:space="preserve">  INCREASE OVER PRIOR YEAR</t>
  </si>
  <si>
    <t xml:space="preserve">    ABOVE)</t>
  </si>
  <si>
    <t xml:space="preserve">TOTAL PROPERTY TAXES (FROM </t>
  </si>
  <si>
    <t>EXPENSE REDUX/OPERATING O'RIDE</t>
  </si>
  <si>
    <t xml:space="preserve">   REQ'D (FROM ABOVE)</t>
  </si>
  <si>
    <t xml:space="preserve">INCREMENTAL TAX RATE FROM </t>
  </si>
  <si>
    <t xml:space="preserve">   O'RIDE (B)</t>
  </si>
  <si>
    <t>(CURRENT RATE)</t>
  </si>
  <si>
    <t>CAPITAL</t>
  </si>
  <si>
    <t>SPECIAL EDUC OUT-OF DIST TUITION</t>
  </si>
  <si>
    <t>TAX RATE FROM APPROVED NEW CAPITAL</t>
  </si>
  <si>
    <t>NEXT $10MM CAPITAL EXPEND</t>
  </si>
  <si>
    <t>FYO2 EXPENSE SAVINGS</t>
  </si>
  <si>
    <t xml:space="preserve">  OVERRIDE - OPERATING</t>
  </si>
  <si>
    <t>Health</t>
  </si>
  <si>
    <t>Cemetery</t>
  </si>
  <si>
    <t>Human Resources</t>
  </si>
  <si>
    <t>Planning</t>
  </si>
  <si>
    <t>Utilities</t>
  </si>
  <si>
    <t xml:space="preserve">Outside   </t>
  </si>
  <si>
    <t>Services</t>
  </si>
  <si>
    <t>Supplies</t>
  </si>
  <si>
    <t>Capital</t>
  </si>
  <si>
    <t>Other</t>
  </si>
  <si>
    <t>Total</t>
  </si>
  <si>
    <t>Medicare</t>
  </si>
  <si>
    <t>Salaries</t>
  </si>
  <si>
    <t>Legislative</t>
  </si>
  <si>
    <t>Elections &amp; Registration</t>
  </si>
  <si>
    <t>Town Clerk</t>
  </si>
  <si>
    <t>Board of Selectmen</t>
  </si>
  <si>
    <t>Community Relations</t>
  </si>
  <si>
    <t>Committees/Commissions</t>
  </si>
  <si>
    <t>General Mgmt Services</t>
  </si>
  <si>
    <t>Legal Services</t>
  </si>
  <si>
    <t>Finance &amp; Accounting</t>
  </si>
  <si>
    <t>Board of Assessors</t>
  </si>
  <si>
    <t>Treasury Mgmt &amp; Collections</t>
  </si>
  <si>
    <t>Parking Clerk</t>
  </si>
  <si>
    <t>Retirement</t>
  </si>
  <si>
    <t>Reserve Fund</t>
  </si>
  <si>
    <t>Police Administration</t>
  </si>
  <si>
    <t>Public Safety Communications</t>
  </si>
  <si>
    <t>Police Records</t>
  </si>
  <si>
    <t>Police Patrol Services</t>
  </si>
  <si>
    <t>Traffic Management</t>
  </si>
  <si>
    <t>Detective &amp; Investigate</t>
  </si>
  <si>
    <t>Police Community Services</t>
  </si>
  <si>
    <t>Fire Administration</t>
  </si>
  <si>
    <t>Fire Suppression</t>
  </si>
  <si>
    <t>Emergency Medical Services</t>
  </si>
  <si>
    <t>Emergency Management</t>
  </si>
  <si>
    <t>Community Deve Admin</t>
  </si>
  <si>
    <t>Engineering Services</t>
  </si>
  <si>
    <t>Inspection Services</t>
  </si>
  <si>
    <t>Public Service Administration</t>
  </si>
  <si>
    <t>Street Maintenance</t>
  </si>
  <si>
    <t>Chapter 90 Police Details</t>
  </si>
  <si>
    <t>Sanitary Sewer Maint</t>
  </si>
  <si>
    <t>MWRA Assessment</t>
  </si>
  <si>
    <t>Stormwater</t>
  </si>
  <si>
    <t>Garage (Internal Service)</t>
  </si>
  <si>
    <t>Forestry Service</t>
  </si>
  <si>
    <t>Delta &amp; Grounds Maint</t>
  </si>
  <si>
    <t>Solid Waste Coll &amp; Disp</t>
  </si>
  <si>
    <t>Sewer</t>
  </si>
  <si>
    <t>Solid Waste</t>
  </si>
  <si>
    <t>Coll &amp; Disp</t>
  </si>
  <si>
    <t>Street Lighting</t>
  </si>
  <si>
    <t>Buildings</t>
  </si>
  <si>
    <t>Grounds</t>
  </si>
  <si>
    <t>Animal Control</t>
  </si>
  <si>
    <t>Mosquito Control</t>
  </si>
  <si>
    <t>Council on Aging</t>
  </si>
  <si>
    <t>Veterans Services</t>
  </si>
  <si>
    <t>Youth Commission</t>
  </si>
  <si>
    <t>Library Administration</t>
  </si>
  <si>
    <t>Library - Public Service</t>
  </si>
  <si>
    <t>Library - Technical Services</t>
  </si>
  <si>
    <t>Recreation Administration</t>
  </si>
  <si>
    <t>Recreation Programs</t>
  </si>
  <si>
    <t>Debt Service</t>
  </si>
  <si>
    <t>Debt</t>
  </si>
  <si>
    <t>Capital Projects</t>
  </si>
  <si>
    <t>Insurance</t>
  </si>
  <si>
    <t>Other Emp</t>
  </si>
  <si>
    <t>Benefits</t>
  </si>
  <si>
    <t xml:space="preserve">Reserve   </t>
  </si>
  <si>
    <t>Fund</t>
  </si>
  <si>
    <t>Sub</t>
  </si>
  <si>
    <t>Total Town &amp; School/Benefits</t>
  </si>
  <si>
    <t>Town non-salary</t>
  </si>
  <si>
    <t>CAPITAL ENDOWMENT</t>
  </si>
  <si>
    <t xml:space="preserve">  CAPACITY NOT RAISED</t>
  </si>
  <si>
    <t>OTHER (&amp; INSURANCE)</t>
  </si>
  <si>
    <t>FY 08</t>
  </si>
  <si>
    <t>5 OTHER DEPARTMENTAL REVENUE</t>
  </si>
  <si>
    <t>SALARIES &amp; WAGES - SCHOOL (9a)</t>
  </si>
  <si>
    <t>Town of Belmont, Massachusetts Long Term Obligations - Fiscal Years Ending June 30th</t>
  </si>
  <si>
    <t>Assessed Valuation</t>
  </si>
  <si>
    <t>FY 02 Tax Rate $11.19</t>
  </si>
  <si>
    <t>*Please note:  Tax Impact is based on Assessed Value for FY 02, the tax impact will decrease as values increase</t>
  </si>
  <si>
    <t>Entire Term</t>
  </si>
  <si>
    <t>TOTAL</t>
  </si>
  <si>
    <t>School Debt</t>
  </si>
  <si>
    <t xml:space="preserve">  Debt Exclusion</t>
  </si>
  <si>
    <t>Chenery Middle School</t>
  </si>
  <si>
    <t>Principal</t>
  </si>
  <si>
    <t>Interest</t>
  </si>
  <si>
    <t>Athletic Fields 8/02</t>
  </si>
  <si>
    <t>Computer Equip GO 9/00</t>
  </si>
  <si>
    <t>Total Bonded School Debt</t>
  </si>
  <si>
    <t>Other Debt (Light &amp; Non School)</t>
  </si>
  <si>
    <t>Light Dept GO  9/00</t>
  </si>
  <si>
    <t>MWRA Bond - 2</t>
  </si>
  <si>
    <t>MWRA Bond - 3</t>
  </si>
  <si>
    <t>Septic Loan</t>
  </si>
  <si>
    <t>Town Hall Annex &amp; Planning 8/02</t>
  </si>
  <si>
    <t>Town GO 9/00</t>
  </si>
  <si>
    <t>Total Other Debt (Light &amp; Non School)</t>
  </si>
  <si>
    <t>Total Debt Service (School/Town/Light)</t>
  </si>
  <si>
    <t>* Tax Rate Impact (including Light therefor not applicable)</t>
  </si>
  <si>
    <t>Offsetting Revenue</t>
  </si>
  <si>
    <t>SBAB - Chenery &amp; Pre existing</t>
  </si>
  <si>
    <t>MWRA Bond - 2 - Water Receipts</t>
  </si>
  <si>
    <t>MWRA Bond - 3 - Sewer Receipts</t>
  </si>
  <si>
    <t>Total Offsetting Revenue</t>
  </si>
  <si>
    <t>* Tax Rate Impact</t>
  </si>
  <si>
    <t>Net Total Debt Service</t>
  </si>
  <si>
    <t xml:space="preserve">* Net Tax Rate Impact existing Bonds &amp; 8/02 issues  </t>
  </si>
  <si>
    <t>Approved Existing Capital Commitments</t>
  </si>
  <si>
    <t xml:space="preserve">    Comm Tower</t>
  </si>
  <si>
    <t>Effect on Tax Rate</t>
  </si>
  <si>
    <t xml:space="preserve">    Cemetery Devel</t>
  </si>
  <si>
    <t>Sources of Funds</t>
  </si>
  <si>
    <t>Sale of Cemetery Lots</t>
  </si>
  <si>
    <t>* Net Tax Rate Impact</t>
  </si>
  <si>
    <t>Proposed Capital Planning</t>
  </si>
  <si>
    <t>Effect on tax rate</t>
  </si>
  <si>
    <t>Wellington School</t>
  </si>
  <si>
    <t xml:space="preserve">Library </t>
  </si>
  <si>
    <t xml:space="preserve">($8,400,000 </t>
  </si>
  <si>
    <t>after grants)</t>
  </si>
  <si>
    <t>Community Center</t>
  </si>
  <si>
    <t>High School Renovation</t>
  </si>
  <si>
    <t>Total Proposed Capital Planning</t>
  </si>
  <si>
    <t>Proposed Offsetting Revenue</t>
  </si>
  <si>
    <t>School Assistance - Wellington @ 50%</t>
  </si>
  <si>
    <t>School Assistance - BHS @ 50%</t>
  </si>
  <si>
    <t>Kendall Insurance</t>
  </si>
  <si>
    <t>Library Assistance</t>
  </si>
  <si>
    <t>Proposed Total Offsetting Revenue</t>
  </si>
  <si>
    <t>Net Capital Planning Projects</t>
  </si>
  <si>
    <t>*Net Tax Rate Impact</t>
  </si>
  <si>
    <t>Current/Approved/&amp; Proposed Total Tax Impact (current assessed value)</t>
  </si>
  <si>
    <t>\\\\\\\\</t>
  </si>
  <si>
    <t>TOWN HALL</t>
  </si>
  <si>
    <t>FY08</t>
  </si>
  <si>
    <t>The base value of $560,000 for an average single family home in Belmont has been carried forward on all the assumptions.  Although</t>
  </si>
  <si>
    <t>CEMETERY INCOME</t>
  </si>
  <si>
    <t>Disposal--NESWC</t>
  </si>
  <si>
    <t>Collection--New Contract</t>
  </si>
  <si>
    <t>Transfer Station maintenance</t>
  </si>
  <si>
    <t>PW Supplies &amp; bins</t>
  </si>
  <si>
    <t>Notes:</t>
  </si>
  <si>
    <t>NESWC ends 9/05</t>
  </si>
  <si>
    <t>Collection contract ends FY04, two-year options FY05-06</t>
  </si>
  <si>
    <t>NESWC disposal fee includes using NESWC reserves to reduce tip fee</t>
  </si>
  <si>
    <t>Transfer Station may incur significant costs at some point</t>
  </si>
  <si>
    <t>9 SCHOOL NON-SALARY EXPENSE (OVERSTATEMENT IN FY 02 IN THIS CATEGORY &amp; UNDERSTATEMENT IN HEALTH INSURANCE)</t>
  </si>
  <si>
    <t>School (see footnote under Schools)</t>
  </si>
  <si>
    <t>TOWN HALL COMPLEX ($12MM) INCLUDED IN FIGURES ABOVE</t>
  </si>
  <si>
    <t xml:space="preserve">the value will increase over time, most homes will appreciate at relatively the same percentage.  The tax rate itself is not a viable figure but </t>
  </si>
  <si>
    <t>the total taxes on the "average home" valued at $560,000 in January of 2000, should be reasonably accurate based on these assumptions.</t>
  </si>
  <si>
    <t>Jan 2000 Valuation</t>
  </si>
  <si>
    <t>Debt Exclusions - Voted as of 10/17/02</t>
  </si>
  <si>
    <t>SALARIES &amp; WAGES - Twn/School(9a)</t>
  </si>
  <si>
    <t>COMMITTED DEBT W/O LT/WAT/SEW</t>
  </si>
  <si>
    <t xml:space="preserve">  Jan03 Gov chg</t>
  </si>
  <si>
    <t>ADDITIONAL ASSISTANCE</t>
  </si>
  <si>
    <t>*</t>
  </si>
  <si>
    <t>WATER DEPT OVERHEAD</t>
  </si>
  <si>
    <t>Total Debt</t>
  </si>
  <si>
    <t>less BMLD</t>
  </si>
  <si>
    <t>less water &amp; sewer</t>
  </si>
  <si>
    <t>Paid by Light Rates/water &amp; sewer rates</t>
  </si>
  <si>
    <t>These salary accounts include: wages, medicare match &amp; all other fringes (except health)</t>
  </si>
  <si>
    <t>Contingency Reserve</t>
  </si>
  <si>
    <t>Total Town &amp; School/Benefits (except Water)</t>
  </si>
  <si>
    <t>*Total of "other" has been subtracted $5,000 because of travel adjustment not yet made by Town Admin</t>
  </si>
  <si>
    <t>KENDALL &amp; OTHER</t>
  </si>
  <si>
    <t>Information Technology</t>
  </si>
  <si>
    <t>Sealer of Weights &amp; Measures</t>
  </si>
  <si>
    <t>Less: Premium on Sale/Bonds</t>
  </si>
  <si>
    <t>FY04 asuumption of a 10% increase in the average single family tax valuation, and 1% thereafter</t>
  </si>
  <si>
    <t>TAX ON $560,000(FY02) ASSESSED HOME</t>
  </si>
  <si>
    <t>4 PMT IN LIEU OF TAXES - MCLEAN/Othere</t>
  </si>
  <si>
    <t>rounding</t>
  </si>
  <si>
    <t>Another way to look at the tax impact would be to look at every additioanl $1M of appropriations on the tax rate.</t>
  </si>
  <si>
    <t>In FY04, another $1M of appropriations would be equal to 32 cents</t>
  </si>
  <si>
    <t>Does $10MM of capital Expend</t>
  </si>
  <si>
    <t>equal $10MM of bonding authorizations?</t>
  </si>
  <si>
    <t>Workers Comp</t>
  </si>
  <si>
    <t>SEWER OVERHEAD</t>
  </si>
  <si>
    <t>TOWN OF BELMONT BUDGET FORECAST ($000) FY05-FY08</t>
  </si>
  <si>
    <t>9 SCHOOL NON-SALARY EXPENSE</t>
  </si>
  <si>
    <t>8 HEALTH BENEFITS:     HEALTH INS HAS BEEN INCREASED $77,000 IN FY05 DUE TO RETIREMENTS</t>
  </si>
  <si>
    <t>Salaries include associated Medicare, Workers Comp &amp; other direct benefits</t>
  </si>
  <si>
    <t>PRELIM</t>
  </si>
  <si>
    <t xml:space="preserve">  INCLUDES INT ON TEMP BORROWING $70,000</t>
  </si>
  <si>
    <t>MWRA Bond - 4</t>
  </si>
  <si>
    <t>MWRA Bond - 4 - Water Receipts</t>
  </si>
  <si>
    <t xml:space="preserve">   NO CONTRACTS HAVE BEEN SETTLED FOR FY05 &amp; MOST HAVE NOT IN FY04</t>
  </si>
  <si>
    <t>SALARIES &amp; WAGES - Twn/School (existing contracts w/attrition)</t>
  </si>
  <si>
    <t>INTEREST ON INVESTMENT (qtrly billing)</t>
  </si>
  <si>
    <t>4 PMT IN LIEU OF TAXES - MCLEAN/Other</t>
  </si>
  <si>
    <t>FY09</t>
  </si>
  <si>
    <t>% Town</t>
  </si>
  <si>
    <t>% School</t>
  </si>
  <si>
    <t xml:space="preserve">Salaries  </t>
  </si>
  <si>
    <t xml:space="preserve">     ON THE SCHOOL SIDE &amp; $50,000 in FY05 for RETIREMENTS ON THE TOWN SIDE</t>
  </si>
  <si>
    <t>School Chapter 70</t>
  </si>
  <si>
    <t>School Construction</t>
  </si>
  <si>
    <t>1.  ASSUMES AT THE LEVY LIMIT.  NO ADDITIONAL INCREASE W/O AN OVERRIDE OR EXCLUSION</t>
  </si>
  <si>
    <t xml:space="preserve">     FY04 had been budgeted at 10% for 1/1/04 and we are projecting 16% for 1/1/05</t>
  </si>
  <si>
    <t xml:space="preserve">                        ADDITIONAL MEDICAID REIMB, &amp; REC FEES</t>
  </si>
  <si>
    <t xml:space="preserve">   FY04 ESTIMATED RECEIPTS REFLECT FY03 BASE PLUS ADD'L $20k FOR COA, </t>
  </si>
  <si>
    <t xml:space="preserve">  FY05 includes $13,332 from FY04 plus $133 steps minus $50 for attrition</t>
  </si>
  <si>
    <t xml:space="preserve">  FY05 includes $20,224 from FY04 plus $450 steps minues $120 for attrition</t>
  </si>
  <si>
    <t xml:space="preserve">9a  SALARY LINE ITEM EXPRESSES ONLY CONTRACTS IN PLACE AS OF 10/7/03 WITH NO </t>
  </si>
  <si>
    <t xml:space="preserve">   FOR ATTRITION</t>
  </si>
  <si>
    <t xml:space="preserve">   ASSUMPTION OF WAGE INCREASES, ONLY STEPS.  IT DOES INCLUDE ASSUMPTIONS </t>
  </si>
  <si>
    <t xml:space="preserve">     SUMMARY BASED ON LEVEL SERVICES</t>
  </si>
  <si>
    <t xml:space="preserve">                  </t>
  </si>
  <si>
    <t>DEFICIT</t>
  </si>
  <si>
    <t>1st 6mos</t>
  </si>
  <si>
    <t>2nd 6mos</t>
  </si>
  <si>
    <t>Sch ret</t>
  </si>
  <si>
    <t>Town ret</t>
  </si>
  <si>
    <t>Calculation for FY05 health insurance</t>
  </si>
  <si>
    <t>EACH 1% SALARY INCREASE OVERALL</t>
  </si>
  <si>
    <r>
      <t xml:space="preserve">  INCR UNDER 2 1/2</t>
    </r>
    <r>
      <rPr>
        <b/>
        <vertAlign val="superscript"/>
        <sz val="10"/>
        <rFont val="Arial"/>
        <family val="2"/>
      </rPr>
      <t>1</t>
    </r>
  </si>
  <si>
    <r>
      <t xml:space="preserve">  MCLEAN PROPERTY TAX</t>
    </r>
    <r>
      <rPr>
        <b/>
        <vertAlign val="superscript"/>
        <sz val="10"/>
        <rFont val="Arial"/>
        <family val="2"/>
      </rPr>
      <t>2</t>
    </r>
  </si>
  <si>
    <r>
      <t xml:space="preserve">  DEBT EXCLUSION </t>
    </r>
    <r>
      <rPr>
        <b/>
        <vertAlign val="superscript"/>
        <sz val="10"/>
        <rFont val="Arial"/>
        <family val="2"/>
      </rPr>
      <t>3</t>
    </r>
  </si>
  <si>
    <r>
      <t>PAYMENT IN LIEU OF TAXES</t>
    </r>
    <r>
      <rPr>
        <b/>
        <vertAlign val="superscript"/>
        <sz val="10"/>
        <rFont val="Arial"/>
        <family val="2"/>
      </rPr>
      <t>4</t>
    </r>
  </si>
  <si>
    <r>
      <t>OTHER</t>
    </r>
    <r>
      <rPr>
        <b/>
        <vertAlign val="superscript"/>
        <sz val="10"/>
        <rFont val="Arial"/>
        <family val="2"/>
      </rPr>
      <t>5</t>
    </r>
  </si>
  <si>
    <r>
      <t>STATE AID</t>
    </r>
    <r>
      <rPr>
        <b/>
        <vertAlign val="superscript"/>
        <sz val="10"/>
        <rFont val="Arial"/>
        <family val="2"/>
      </rPr>
      <t>6</t>
    </r>
  </si>
  <si>
    <r>
      <t>TRANSFERS &amp; OTHER</t>
    </r>
    <r>
      <rPr>
        <b/>
        <vertAlign val="superscript"/>
        <sz val="10"/>
        <rFont val="Arial"/>
        <family val="2"/>
      </rPr>
      <t>7</t>
    </r>
  </si>
  <si>
    <r>
      <t>RESTRICTED)</t>
    </r>
    <r>
      <rPr>
        <b/>
        <vertAlign val="superscript"/>
        <sz val="10"/>
        <rFont val="Arial"/>
        <family val="2"/>
      </rPr>
      <t>13</t>
    </r>
  </si>
  <si>
    <r>
      <t>HEALTH  (ACTIVE &amp; RETIRED</t>
    </r>
    <r>
      <rPr>
        <b/>
        <vertAlign val="superscript"/>
        <sz val="10"/>
        <rFont val="Arial"/>
        <family val="2"/>
      </rPr>
      <t>)8</t>
    </r>
  </si>
  <si>
    <r>
      <t>SCHOOL NON-SALARIES</t>
    </r>
    <r>
      <rPr>
        <b/>
        <vertAlign val="superscript"/>
        <sz val="10"/>
        <rFont val="Arial"/>
        <family val="2"/>
      </rPr>
      <t>9</t>
    </r>
  </si>
  <si>
    <r>
      <t>STATE CHARGES</t>
    </r>
    <r>
      <rPr>
        <b/>
        <vertAlign val="superscript"/>
        <sz val="10"/>
        <rFont val="Arial"/>
        <family val="2"/>
      </rPr>
      <t>10</t>
    </r>
  </si>
  <si>
    <r>
      <t>TOWN NON-SALARY</t>
    </r>
    <r>
      <rPr>
        <b/>
        <vertAlign val="superscript"/>
        <sz val="10"/>
        <rFont val="Arial"/>
        <family val="2"/>
      </rPr>
      <t>11</t>
    </r>
  </si>
  <si>
    <r>
      <t>SOLID WASTE COLLECTION</t>
    </r>
    <r>
      <rPr>
        <b/>
        <vertAlign val="superscript"/>
        <sz val="10"/>
        <rFont val="Arial"/>
        <family val="2"/>
      </rPr>
      <t>12</t>
    </r>
  </si>
  <si>
    <r>
      <t xml:space="preserve">            (EXCLUDING ENTERPRISE)</t>
    </r>
    <r>
      <rPr>
        <b/>
        <vertAlign val="superscript"/>
        <sz val="10"/>
        <rFont val="Arial"/>
        <family val="2"/>
      </rPr>
      <t>13</t>
    </r>
  </si>
  <si>
    <t>FOOTNOTES BELOW ARE AN INTEGRAL PART OF THE PRO FORMA</t>
  </si>
  <si>
    <t>orig 489</t>
  </si>
  <si>
    <t>Town</t>
  </si>
  <si>
    <t>School</t>
  </si>
  <si>
    <t>Allocation</t>
  </si>
  <si>
    <t>FY05 Avail</t>
  </si>
  <si>
    <t>debt excl</t>
  </si>
  <si>
    <t>Shortfall</t>
  </si>
  <si>
    <t>orig 300</t>
  </si>
  <si>
    <t>FY 05</t>
  </si>
  <si>
    <t>Parks &amp; Facilities</t>
  </si>
  <si>
    <t>sal</t>
  </si>
  <si>
    <t>hlth</t>
  </si>
  <si>
    <t>Town Hlth</t>
  </si>
  <si>
    <t>Sub total</t>
  </si>
  <si>
    <t>sub total</t>
  </si>
  <si>
    <t>Final School</t>
  </si>
  <si>
    <t>Final Town</t>
  </si>
  <si>
    <t>Revenues</t>
  </si>
  <si>
    <t>Net revenues for allocation</t>
  </si>
  <si>
    <t>Est</t>
  </si>
  <si>
    <t>Final School Budget</t>
  </si>
  <si>
    <t>Health Insurance</t>
  </si>
  <si>
    <t>Unemploy</t>
  </si>
  <si>
    <t>Preliminary</t>
  </si>
  <si>
    <t>Totals</t>
  </si>
  <si>
    <t>SPED out district</t>
  </si>
  <si>
    <t>Non Salary</t>
  </si>
  <si>
    <t>FY05 School</t>
  </si>
  <si>
    <t>Debt Exclusion</t>
  </si>
  <si>
    <t>Fire Stations 6/04</t>
  </si>
  <si>
    <t>Comm Tower 6/04</t>
  </si>
  <si>
    <t>PREM SALE BONDS</t>
  </si>
  <si>
    <t>Health Insurance Breakout</t>
  </si>
  <si>
    <t xml:space="preserve">   FY06 EST RECEIPTS ARE INCREASED 2% BUT THEN REFLECT THE 2 NEW REVOLVING ACCOUNTS FOR COA &amp; YOUTH</t>
  </si>
  <si>
    <t>one yr</t>
  </si>
  <si>
    <t>new K</t>
  </si>
  <si>
    <t xml:space="preserve">  includes Planning $75,000(3 yrs)</t>
  </si>
  <si>
    <t>These calculations will</t>
  </si>
  <si>
    <t>change because of the</t>
  </si>
  <si>
    <t>Change in the SBAB funding</t>
  </si>
  <si>
    <t>that will be paid upfront</t>
  </si>
  <si>
    <t>on the construction</t>
  </si>
  <si>
    <t>Planning Athletic Fields</t>
  </si>
  <si>
    <t xml:space="preserve">  Inside Debt</t>
  </si>
  <si>
    <t>Each $1M of Annual Debt Service</t>
  </si>
  <si>
    <t xml:space="preserve">  INCREASE OVER PRIOR YEAR-Rate</t>
  </si>
  <si>
    <t>FY 06 Prelim Bud</t>
  </si>
  <si>
    <t>FY06 Comparison - Town Budget to Pro Forma</t>
  </si>
  <si>
    <t>Original</t>
  </si>
  <si>
    <t>ProForma</t>
  </si>
  <si>
    <t>w/o raises</t>
  </si>
  <si>
    <t>FY06 Town</t>
  </si>
  <si>
    <t>Proposed</t>
  </si>
  <si>
    <t>Salaries/Benefits</t>
  </si>
  <si>
    <t>Minuteman</t>
  </si>
  <si>
    <t>State Assessments</t>
  </si>
  <si>
    <t>Reserve</t>
  </si>
  <si>
    <t>Overlay</t>
  </si>
  <si>
    <t>Transfer to Stab-Ret Hlth</t>
  </si>
  <si>
    <t>Budget w/raises</t>
  </si>
  <si>
    <t>Difference</t>
  </si>
  <si>
    <t>Includes steps &amp; raises (1.5% &amp; 3%)</t>
  </si>
  <si>
    <t>* see below</t>
  </si>
  <si>
    <t>Transfer to Town &amp; School -non salary</t>
  </si>
  <si>
    <t>Post Retirement Health Stabilization</t>
  </si>
  <si>
    <t>Notes</t>
  </si>
  <si>
    <t xml:space="preserve">   brunt of the increased policies in the school department to the school budget.  The BOS has been made aware of </t>
  </si>
  <si>
    <t xml:space="preserve">   the anticipated savings by the Assistant Town Administrator.  Possible savings will flow into free cash at year end</t>
  </si>
  <si>
    <t xml:space="preserve">   unless voted to cover the any snow deficit that may result from our above average winter.</t>
  </si>
  <si>
    <t xml:space="preserve">   ($81K to School, $125K to Town)</t>
  </si>
  <si>
    <t>Includes $125K additional from Capital (IT)</t>
  </si>
  <si>
    <t>Category</t>
  </si>
  <si>
    <t xml:space="preserve">              Totals</t>
  </si>
  <si>
    <t xml:space="preserve">   own health insurance costs on a monthly basis rather than as an estimate based on the prior year policies.  This put the </t>
  </si>
  <si>
    <t xml:space="preserve">   policies as usually anticipated &amp; budgeted results in FY05 savings.    This is the first year that the school has paid for their </t>
  </si>
  <si>
    <t>Logic:  Total Budget</t>
  </si>
  <si>
    <t>Less Enterprises &amp; Chap 90</t>
  </si>
  <si>
    <t>Less Local School</t>
  </si>
  <si>
    <t>Includes $81K for Capital (IT)</t>
  </si>
  <si>
    <t xml:space="preserve">Less BMLD Debt </t>
  </si>
  <si>
    <t>Difference $4K from above Town Budget</t>
  </si>
  <si>
    <t xml:space="preserve">   Net Town Budget above</t>
  </si>
  <si>
    <t>Please note:  The health insurance increase on 1/1/05 was less than originally budgeted (FY05).  This plus no growth in</t>
  </si>
  <si>
    <t>There was a net transfer of $81K to School (IT)</t>
  </si>
  <si>
    <t>FY06 School</t>
  </si>
  <si>
    <t>SPED Tuition</t>
  </si>
  <si>
    <t>Does not include the $81K from Capital IT</t>
  </si>
  <si>
    <t>"Level service"</t>
  </si>
  <si>
    <t>Difference between guideline &amp; "Level service"</t>
  </si>
  <si>
    <t xml:space="preserve">  Less Town GASB 45 Stabilization to School</t>
  </si>
  <si>
    <t>"Shortfall"</t>
  </si>
  <si>
    <t>FY06 Comparison - School Budget to Pro Forma</t>
  </si>
  <si>
    <t>Level service would be $2,556</t>
  </si>
  <si>
    <t>FY05 budget</t>
  </si>
  <si>
    <t>FY06 Budget - guideline</t>
  </si>
  <si>
    <t>% increase FY05 - FY06</t>
  </si>
  <si>
    <t>FY06 Budget - level service</t>
  </si>
  <si>
    <t>Proposed change by WC (not yet voted)</t>
  </si>
  <si>
    <t>1st run budget (guideline)</t>
  </si>
  <si>
    <t>Less 11 positions plus 3.4 positions</t>
  </si>
  <si>
    <t>Includes 3.9 new fte, ? Attrition, ? Raises</t>
  </si>
  <si>
    <t>Does not include the $81K from Capital IT, 17% OVER FY05</t>
  </si>
  <si>
    <t xml:space="preserve"> -   </t>
  </si>
  <si>
    <t>Public Hearing</t>
  </si>
  <si>
    <t>Includes 3.9 new fte, + Attrition, + Contractual Allowance</t>
  </si>
  <si>
    <t>Other Benefits</t>
  </si>
  <si>
    <t>workers comp, unemployment, medicare tax</t>
  </si>
  <si>
    <t>net after anticipated $262K increase in circuit breaker</t>
  </si>
  <si>
    <t>Non Salary (detail below)</t>
  </si>
  <si>
    <t>transfer from Capital</t>
  </si>
  <si>
    <t>Revised Guideline:</t>
  </si>
  <si>
    <t>FY05 Budget</t>
  </si>
  <si>
    <t>FY06 Budget</t>
  </si>
  <si>
    <t>net after increase in rental rate for After-School programs</t>
  </si>
  <si>
    <t>Buildings &amp; Grounds</t>
  </si>
  <si>
    <t>Spec Educ Trans &amp; Contr Serv</t>
  </si>
  <si>
    <t>Technology</t>
  </si>
  <si>
    <t>does not include $81K transfer from Capital</t>
  </si>
  <si>
    <t>All other non-salary</t>
  </si>
  <si>
    <t>Total Non-Salary Budget without Sped Tuition</t>
  </si>
  <si>
    <t>Detailed provided by G. Missal 3-28-05</t>
  </si>
  <si>
    <t>TECHNOLOGY</t>
  </si>
  <si>
    <t>FOR RETIREMENT BENEFITS.  RETIREEE HEALTH WILL BE BOTH FOR TOWN AND ALL SCHOOL EMPLOYEES (INCLUDING TEACHERS).  TEACHERS RETIREMENT BENEFITS PAID BY STATE.</t>
  </si>
  <si>
    <t>BMLD-Transfer in (was PILOT)</t>
  </si>
  <si>
    <t>final</t>
  </si>
  <si>
    <t>12.A FUEL ADJUSTMENT</t>
  </si>
  <si>
    <t>TOWN</t>
  </si>
  <si>
    <t>SCHOOL</t>
  </si>
  <si>
    <t>Actual</t>
  </si>
  <si>
    <t>Energy</t>
  </si>
  <si>
    <t>UTILITIES &amp; ENERGY SUP</t>
  </si>
  <si>
    <t>Cemetery construction (est)</t>
  </si>
  <si>
    <t>COMMENT</t>
  </si>
  <si>
    <t>2 1/2% ALLOWABLE INCREASE</t>
  </si>
  <si>
    <t>DECREASE IN CHENERY SCHOOL CONSTRUCTION AID</t>
  </si>
  <si>
    <t>FY07 LEVEL SERVICE PROJECTION ASSUMPTIONS</t>
  </si>
  <si>
    <t>REVENUE</t>
  </si>
  <si>
    <t>NORMAL 2 1/2% INCREASE</t>
  </si>
  <si>
    <t>NEW GROWTH OF $475K - DOWN FROM PREVIOUS YEARS DUE TO INTEREST RATE INCREASE</t>
  </si>
  <si>
    <t>STATE AID FLAT EXCEPT FOR DECREASE IN CHENERY SCHOOL CONSTRUCTION PAYMENTS</t>
  </si>
  <si>
    <t xml:space="preserve">TRANSFERS INCLUDE 850K FREE CASH (50% OF TOTAL AVAILABLE), CEMETERY LOT SALES </t>
  </si>
  <si>
    <t>OF 143K AND OVERLAY RESERVE OF 380K</t>
  </si>
  <si>
    <t>EXPENSES</t>
  </si>
  <si>
    <t>RETIREMENT - 9.5% INCREASE - NEGOTIATED WITH RETIREMENT BOARD</t>
  </si>
  <si>
    <t>RESERVE FOR FUEL ADJUSTMENT - 650K</t>
  </si>
  <si>
    <t>ROAD CAPITAL -$1.2MM</t>
  </si>
  <si>
    <t>OTHER CAPITAL - $1.0MM</t>
  </si>
  <si>
    <t>DEFICIT:</t>
  </si>
  <si>
    <t>NOT INCLUDED:</t>
  </si>
  <si>
    <t>FUNDING OF FUTURE RETIREE HEALTH BENEFITS ($50MM?)</t>
  </si>
  <si>
    <t>ROAD AND SEWER CATCH-UP</t>
  </si>
  <si>
    <t>HIGHER DEBT EXCLUSION DUE TO LOWER STATE REIMBURSEMENT FOR CHENERY</t>
  </si>
  <si>
    <t>RETURN TO FY05 BUDGETED NUMBER</t>
  </si>
  <si>
    <t>SALARIES - 4.2% INCREASE (CONTRACT INCREASE + STEPS) - NEED SCHOOL ATTRITION AND CONTRACT INCREASE</t>
  </si>
  <si>
    <t>SPED - 7.6% INCREASE - OFFSET FROM CIRCUIT BREAKER - NEED SCHOOL UPDATE</t>
  </si>
  <si>
    <t>RETIREMENT HEALTHCARE FUNDING</t>
  </si>
  <si>
    <t>SEPARATE LONG TERM TRUST ACCOUNT FOR UNFUNDED LIABILITY</t>
  </si>
  <si>
    <t>INCLUDES LT FUNDING FOR CEMETERY, SKATING RINK, CONCORD AVE &amp; SOFTWARE</t>
  </si>
  <si>
    <t>1.  ASSUMES AT THE LEVY LIMIT FOR ALL YEARS</t>
  </si>
  <si>
    <t xml:space="preserve">CONSIDERED AS A TRANSFER IN </t>
  </si>
  <si>
    <t>REDUCTION EXPECTED BECAUSE OF CMS AUDIT (INT LESS THAN EST)</t>
  </si>
  <si>
    <t>8.  THE TOWN IS AWARE THAT GASB 45 WILL BE EFFECTIVE FOR FISCAL YEARS FY08 AND THEREAFTER.  RIGHT NOW HEALTH BENEFITS ARE ON A "PAY AS YOU GO BASIS".  LIABILITY WILL RIVAL THE LIABILITY</t>
  </si>
  <si>
    <t>ADJUSTMENT FOR FUEL INCREASES STATED SEPARATELY</t>
  </si>
  <si>
    <t>WAITING FOR FINAL AMOUNTS FROM DPW</t>
  </si>
  <si>
    <t>ESTIMATES</t>
  </si>
  <si>
    <t>TAX ON $719,000(FY05) ASSESSED HOME</t>
  </si>
  <si>
    <t>The base value of $719,000 in FY05 for an average single family home in Belmont has been carried forward on all the assumptions.  Although</t>
  </si>
  <si>
    <t>the total taxes on the "average home" valued at $719,000 in January of 2005, should be reasonably accurate based on these assumptions.</t>
  </si>
  <si>
    <t>FY06 and forward asuumption of a 7% increase in the average single family tax valuation</t>
  </si>
  <si>
    <t>In FY07, another $1M of appropriations would be equal to 17 cents</t>
  </si>
  <si>
    <t>THIS IS MOSTLY MCLEAN &amp; SOME $ FROM THE HOUSING AUTHORITY</t>
  </si>
  <si>
    <t>$2.9MM</t>
  </si>
  <si>
    <t>SOLID WASTE - $150,000 INCREASE - ROUGHT ESTIMATE - CONTRACT TO BE NEGOTIATED</t>
  </si>
  <si>
    <t>FY06 BUDGET</t>
  </si>
  <si>
    <t>SALARIES</t>
  </si>
  <si>
    <t>Includes workers comp, unemploy  &amp; medicare match</t>
  </si>
  <si>
    <t>HEALTH INSURANCE</t>
  </si>
  <si>
    <t>RETIREMENT</t>
  </si>
  <si>
    <t>NON SALARY EXPENSES</t>
  </si>
  <si>
    <t>SPED OUT OF DISTRICT</t>
  </si>
  <si>
    <t>MINUTEMAN VOC EDUC</t>
  </si>
  <si>
    <t>STATE ASSESSMENTS</t>
  </si>
  <si>
    <t>SOLID WASTE COLL/DISPOSAL</t>
  </si>
  <si>
    <t>OVERLAY/ABATE &amp; EXEMPT</t>
  </si>
  <si>
    <t>DEBT SERVICE</t>
  </si>
  <si>
    <t>HEALTH</t>
  </si>
  <si>
    <t>ALLOCATION OF NEW FY07 REVENUES  TO NON DEPT EXPENSES</t>
  </si>
  <si>
    <t>INCLUDES OTHER SPED INCR FOR TRANS &amp; PSYCH SEPARATELY ADDED TO 4%</t>
  </si>
  <si>
    <t>FIRE STATIONS - 1st issue</t>
  </si>
  <si>
    <t>FIRE STATIONS - 2nd issue</t>
  </si>
  <si>
    <t>MWRA GIS System - FY07, 5 yrs- sewer</t>
  </si>
  <si>
    <t>plus Senior Center &amp; second round of fire station debt</t>
  </si>
  <si>
    <t>debt exclusion</t>
  </si>
  <si>
    <t>NEW REVENUES ANTICIPATED TO AVAILABLE IN FY 07 IS $2,897</t>
  </si>
  <si>
    <t>MINUTEMAN</t>
  </si>
  <si>
    <t xml:space="preserve">SOLID WASTE </t>
  </si>
  <si>
    <t>SECOND ROUND OF FIRE STATIONS &amp; SENIOR CENTER</t>
  </si>
  <si>
    <t>varies</t>
  </si>
  <si>
    <t>11.7% for town, 16.6% for school</t>
  </si>
  <si>
    <t>HEALTH - 13% INCREASE (10% 1/1/06, 13% IN 1/1/07)</t>
  </si>
  <si>
    <t>SCHOOL ESTIMATING PARTICIPANTS INCREASE WILL BRING % TO 16.6% IF THEY USE 10% INC FOR 1/1/07</t>
  </si>
  <si>
    <t xml:space="preserve">   18% INCREASE IF 13% INCREASE ESTIMATE FOR 1/1/07</t>
  </si>
  <si>
    <t>CURRENT YEAR BUDGET - FY06 (in thousands)</t>
  </si>
  <si>
    <t>ALLOCATION OF $2.9M OF NEW FUNDS IN FY07, NO OVERRIDE</t>
  </si>
  <si>
    <t>DEBT  *</t>
  </si>
  <si>
    <t>* New revenues from debt exclusions in FY07 will be $927K.  This is a net figure after netting out SBAB changes</t>
  </si>
  <si>
    <t xml:space="preserve">           If SBAB reimbursement for Chenery were to decrease, state aid would go down and debt exclusion would increase</t>
  </si>
  <si>
    <t xml:space="preserve">           There is also $143K of Sale of Cemetery Lots included as new revenues to cover the cost of the cemetery debt</t>
  </si>
  <si>
    <t>Total FY06</t>
  </si>
  <si>
    <t>Plus FY07 new debt</t>
  </si>
  <si>
    <t>Plus FY07 add'l retirement</t>
  </si>
  <si>
    <t>Subtract total FY07 debt &amp; retire</t>
  </si>
  <si>
    <t>New Subtotal</t>
  </si>
  <si>
    <t xml:space="preserve">   % of new subtotal</t>
  </si>
  <si>
    <t>Avail (2897-1144-168) =  1585</t>
  </si>
  <si>
    <t>FY 07 Level Services</t>
  </si>
  <si>
    <t>Snow Removal</t>
  </si>
  <si>
    <t>Central Fleet Maint - Hwy Fac</t>
  </si>
  <si>
    <t>Minuteman Regional School</t>
  </si>
  <si>
    <t>School Total</t>
  </si>
  <si>
    <t>Solid Waste Costs for 10-year projection</t>
  </si>
  <si>
    <t>Updated 1/30/06</t>
  </si>
  <si>
    <t>Estimated Tonnage</t>
  </si>
  <si>
    <t>FY10</t>
  </si>
  <si>
    <t>FY11</t>
  </si>
  <si>
    <t>Collection--Current Contract</t>
  </si>
  <si>
    <t>Disposal--New Contract</t>
  </si>
  <si>
    <t>Collection includes Trash, Recycling &amp; Yard Waste</t>
  </si>
  <si>
    <t>INCLUDES $2.4m FOR WELLINGTON DEBT SERVICE IN 08 &amp; 09</t>
  </si>
  <si>
    <t>qa</t>
  </si>
  <si>
    <t>Fire Stations 3/06</t>
  </si>
  <si>
    <t>Concord Ave land 3/06</t>
  </si>
  <si>
    <t>Skating Rink 3/06</t>
  </si>
  <si>
    <t>Business Software (est)</t>
  </si>
  <si>
    <t>Senior Center 6/06 (est)</t>
  </si>
  <si>
    <t>ROADS</t>
  </si>
  <si>
    <t>Water</t>
  </si>
  <si>
    <t>Light</t>
  </si>
  <si>
    <t>Chapter 90</t>
  </si>
  <si>
    <t>no BMLD</t>
  </si>
  <si>
    <t>TOWN - TOWN ESTIMATE (9/13/06)</t>
  </si>
  <si>
    <t>SCHOOL - TOWN ESTIMATE (9/13/06)</t>
  </si>
  <si>
    <t>Debt Service (w/o BMLD)</t>
  </si>
  <si>
    <t>FY07 Voted Budget</t>
  </si>
  <si>
    <t>Ash Landfill Stab</t>
  </si>
  <si>
    <t>7.5% HEALTH INCR 1/1/07 (NEED EST OF SCHOOL HEALTHCARE PARTICIPANTS)</t>
  </si>
  <si>
    <t>INCREASES PARTIALLY OFFSET BY STATE CIRCUIT-BREAKER</t>
  </si>
  <si>
    <t xml:space="preserve">9B.  SPED Out of District Tuiition began to be mitigated in FY04 by the Cirucuit Breaker cash received from the state.  </t>
  </si>
  <si>
    <t>SALE OF CEMETERY LOTS-Debt</t>
  </si>
  <si>
    <t>Leftover capital projects</t>
  </si>
  <si>
    <t>Light Dept Software 2007-Prin</t>
  </si>
  <si>
    <t xml:space="preserve">  Estimates</t>
  </si>
  <si>
    <t>#34</t>
  </si>
  <si>
    <t>FIRE STATION BAN/PERM est</t>
  </si>
  <si>
    <t>SENIOR CENTER - est</t>
  </si>
  <si>
    <t xml:space="preserve">2  ASSUMES SOME IMPACT FROM MCLEAN BUT NOT ALEWIFE OR OTHER DEVELOPMENT.  </t>
  </si>
  <si>
    <t>NO CONTRACTS SETTLED, INC FROM 52 WKS TO 52.2 WKS AND EST 3%</t>
  </si>
  <si>
    <t xml:space="preserve">THIS IS NEW ESTIMATE FOR FY08 </t>
  </si>
  <si>
    <t>X</t>
  </si>
  <si>
    <t>9A.  SCHOOL UNION CONTRACT HAVE NOT YET BEEN SETTLED</t>
  </si>
  <si>
    <t>STM</t>
  </si>
  <si>
    <t>Includes STM</t>
  </si>
  <si>
    <t xml:space="preserve">Salaries include associated Medicare, Workers Comp &amp; other direct benefits </t>
  </si>
  <si>
    <t xml:space="preserve">  Town and school contracts are settled through 6/30/07</t>
  </si>
  <si>
    <t>CURRENT YEAR BUDGET - FY07 (in thousands)</t>
  </si>
  <si>
    <t>10% for town, 12% for school</t>
  </si>
  <si>
    <t>Total FY07</t>
  </si>
  <si>
    <t>Plus FY08 new debt</t>
  </si>
  <si>
    <t>Plus FY08 add'l retirement</t>
  </si>
  <si>
    <t>ALLOCATION OF NEW FY08 REVENUES  TO NON DEPT EXPENSES</t>
  </si>
  <si>
    <t xml:space="preserve">  New Debt &amp; Retirement</t>
  </si>
  <si>
    <t xml:space="preserve">  New Allocation of Available</t>
  </si>
  <si>
    <t xml:space="preserve">TOTAL FY08   </t>
  </si>
  <si>
    <t>TOTAL FY08 BUDGET ALLOCATION</t>
  </si>
  <si>
    <t xml:space="preserve">   FY07 base starting point</t>
  </si>
  <si>
    <t>MWRA Bond - 5 (sewer)</t>
  </si>
  <si>
    <t>Light Dept Software</t>
  </si>
  <si>
    <t>Prin</t>
  </si>
  <si>
    <t>FY07 BUDGET</t>
  </si>
  <si>
    <t>ALLOCATION OF $2.065M OF NEW FUNDS IN FY08, NO OVERRIDE</t>
  </si>
  <si>
    <t>NEW REVENUES ANTICIPATED TO AVAILABLE IN FY 08 IS $2,065K</t>
  </si>
  <si>
    <t>Avail (2065-203-528) =  $1334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</si>
</sst>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\-mmm\-yy"/>
    <numFmt numFmtId="166" formatCode="0_);\(0\)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mm/dd/yy"/>
    <numFmt numFmtId="171" formatCode="&quot;$&quot;#,##0"/>
    <numFmt numFmtId="172" formatCode="_(&quot;$&quot;* #,##0_);_(&quot;$&quot;* \(#,##0\);_(&quot;$&quot;* &quot;-&quot;??_);_(@_)"/>
    <numFmt numFmtId="173" formatCode="&quot;$&quot;#,##0.00"/>
    <numFmt numFmtId="174" formatCode="_(&quot;$&quot;* #,##0.0_);_(&quot;$&quot;* \(#,##0.0\);_(&quot;$&quot;* &quot;-&quot;??_);_(@_)"/>
    <numFmt numFmtId="175" formatCode="#,##0.0"/>
    <numFmt numFmtId="176" formatCode="0.000"/>
    <numFmt numFmtId="177" formatCode="_(* #,##0.0_);_(* \(#,##0.0\);_(* &quot;-&quot;?_);_(@_)"/>
    <numFmt numFmtId="178" formatCode="_(* #,##0.000_);_(* \(#,##0.000\);_(* &quot;-&quot;??_);_(@_)"/>
    <numFmt numFmtId="179" formatCode="0.0000"/>
    <numFmt numFmtId="180" formatCode="0.000000"/>
    <numFmt numFmtId="181" formatCode="0.00000"/>
    <numFmt numFmtId="182" formatCode="_(* #,##0.0000_);_(* \(#,##0.0000\);_(* &quot;-&quot;??_);_(@_)"/>
    <numFmt numFmtId="183" formatCode="0.00000000"/>
    <numFmt numFmtId="184" formatCode="0.000000000"/>
    <numFmt numFmtId="185" formatCode="0.0000000000"/>
    <numFmt numFmtId="186" formatCode="0.0000000"/>
  </numFmts>
  <fonts count="21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vertAlign val="superscript"/>
      <sz val="12"/>
      <name val="Arial"/>
      <family val="0"/>
    </font>
    <font>
      <b/>
      <sz val="16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21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/>
    </xf>
    <xf numFmtId="3" fontId="0" fillId="3" borderId="0" xfId="0" applyNumberFormat="1" applyFill="1" applyAlignment="1">
      <alignment/>
    </xf>
    <xf numFmtId="169" fontId="0" fillId="0" borderId="0" xfId="15" applyNumberFormat="1" applyAlignment="1">
      <alignment/>
    </xf>
    <xf numFmtId="169" fontId="7" fillId="0" borderId="0" xfId="15" applyNumberFormat="1" applyFont="1" applyAlignment="1">
      <alignment/>
    </xf>
    <xf numFmtId="169" fontId="7" fillId="0" borderId="0" xfId="15" applyNumberFormat="1" applyFont="1" applyFill="1" applyAlignment="1">
      <alignment/>
    </xf>
    <xf numFmtId="169" fontId="0" fillId="0" borderId="0" xfId="15" applyNumberFormat="1" applyFont="1" applyAlignment="1">
      <alignment/>
    </xf>
    <xf numFmtId="169" fontId="0" fillId="0" borderId="0" xfId="15" applyNumberFormat="1" applyFont="1" applyAlignment="1">
      <alignment/>
    </xf>
    <xf numFmtId="2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1" fontId="0" fillId="0" borderId="0" xfId="17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17" applyNumberFormat="1" applyFont="1" applyAlignment="1">
      <alignment/>
    </xf>
    <xf numFmtId="16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6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71" fontId="3" fillId="0" borderId="0" xfId="17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4" fontId="0" fillId="0" borderId="0" xfId="17" applyFont="1" applyBorder="1" applyAlignment="1">
      <alignment/>
    </xf>
    <xf numFmtId="44" fontId="0" fillId="0" borderId="3" xfId="17" applyFont="1" applyBorder="1" applyAlignment="1">
      <alignment/>
    </xf>
    <xf numFmtId="44" fontId="3" fillId="0" borderId="3" xfId="17" applyFont="1" applyBorder="1" applyAlignment="1">
      <alignment/>
    </xf>
    <xf numFmtId="44" fontId="3" fillId="0" borderId="0" xfId="17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3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2" fontId="3" fillId="0" borderId="0" xfId="17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3" fontId="0" fillId="0" borderId="3" xfId="17" applyNumberFormat="1" applyFont="1" applyBorder="1" applyAlignment="1">
      <alignment/>
    </xf>
    <xf numFmtId="173" fontId="3" fillId="0" borderId="3" xfId="17" applyNumberFormat="1" applyFont="1" applyBorder="1" applyAlignment="1">
      <alignment/>
    </xf>
    <xf numFmtId="6" fontId="3" fillId="0" borderId="0" xfId="0" applyNumberFormat="1" applyFont="1" applyAlignment="1">
      <alignment/>
    </xf>
    <xf numFmtId="173" fontId="0" fillId="0" borderId="0" xfId="17" applyNumberFormat="1" applyFont="1" applyBorder="1" applyAlignment="1">
      <alignment/>
    </xf>
    <xf numFmtId="173" fontId="3" fillId="0" borderId="0" xfId="17" applyNumberFormat="1" applyFont="1" applyBorder="1" applyAlignment="1">
      <alignment/>
    </xf>
    <xf numFmtId="173" fontId="0" fillId="0" borderId="0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3" fontId="0" fillId="0" borderId="3" xfId="17" applyNumberFormat="1" applyFont="1" applyBorder="1" applyAlignment="1">
      <alignment horizontal="right"/>
    </xf>
    <xf numFmtId="173" fontId="3" fillId="0" borderId="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right"/>
    </xf>
    <xf numFmtId="172" fontId="0" fillId="0" borderId="0" xfId="17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7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71" fontId="0" fillId="0" borderId="0" xfId="17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3" xfId="0" applyNumberFormat="1" applyFont="1" applyBorder="1" applyAlignment="1">
      <alignment/>
    </xf>
    <xf numFmtId="6" fontId="0" fillId="0" borderId="5" xfId="0" applyNumberFormat="1" applyFont="1" applyBorder="1" applyAlignment="1">
      <alignment/>
    </xf>
    <xf numFmtId="171" fontId="3" fillId="0" borderId="6" xfId="0" applyNumberFormat="1" applyFont="1" applyBorder="1" applyAlignment="1">
      <alignment horizontal="right"/>
    </xf>
    <xf numFmtId="40" fontId="0" fillId="0" borderId="3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66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Alignment="1">
      <alignment horizontal="right"/>
    </xf>
    <xf numFmtId="3" fontId="0" fillId="3" borderId="1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2" fontId="0" fillId="3" borderId="2" xfId="0" applyNumberForma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2" xfId="0" applyNumberFormat="1" applyFill="1" applyBorder="1" applyAlignment="1">
      <alignment/>
    </xf>
    <xf numFmtId="172" fontId="0" fillId="3" borderId="0" xfId="17" applyNumberFormat="1" applyFill="1" applyAlignment="1">
      <alignment/>
    </xf>
    <xf numFmtId="172" fontId="0" fillId="0" borderId="0" xfId="17" applyNumberFormat="1" applyAlignment="1">
      <alignment/>
    </xf>
    <xf numFmtId="172" fontId="0" fillId="0" borderId="0" xfId="17" applyNumberFormat="1" applyFill="1" applyAlignment="1">
      <alignment/>
    </xf>
    <xf numFmtId="172" fontId="0" fillId="0" borderId="0" xfId="17" applyNumberFormat="1" applyFont="1" applyAlignment="1">
      <alignment/>
    </xf>
    <xf numFmtId="37" fontId="0" fillId="3" borderId="2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2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7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9" fontId="0" fillId="0" borderId="0" xfId="21" applyAlignment="1">
      <alignment/>
    </xf>
    <xf numFmtId="169" fontId="0" fillId="4" borderId="0" xfId="15" applyNumberFormat="1" applyFill="1" applyAlignment="1">
      <alignment/>
    </xf>
    <xf numFmtId="164" fontId="0" fillId="0" borderId="0" xfId="21" applyNumberFormat="1" applyFill="1" applyAlignment="1">
      <alignment/>
    </xf>
    <xf numFmtId="169" fontId="0" fillId="0" borderId="0" xfId="0" applyNumberFormat="1" applyAlignment="1">
      <alignment/>
    </xf>
    <xf numFmtId="3" fontId="0" fillId="3" borderId="1" xfId="0" applyNumberFormat="1" applyFont="1" applyFill="1" applyBorder="1" applyAlignment="1">
      <alignment/>
    </xf>
    <xf numFmtId="37" fontId="0" fillId="3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4" borderId="0" xfId="0" applyFill="1" applyAlignment="1">
      <alignment/>
    </xf>
    <xf numFmtId="9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0" fontId="0" fillId="5" borderId="0" xfId="0" applyFill="1" applyAlignment="1">
      <alignment/>
    </xf>
    <xf numFmtId="1" fontId="0" fillId="0" borderId="0" xfId="21" applyNumberFormat="1" applyFill="1" applyAlignment="1">
      <alignment/>
    </xf>
    <xf numFmtId="164" fontId="0" fillId="0" borderId="0" xfId="21" applyNumberFormat="1" applyAlignment="1">
      <alignment/>
    </xf>
    <xf numFmtId="1" fontId="0" fillId="0" borderId="2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3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3" fillId="3" borderId="0" xfId="0" applyNumberFormat="1" applyFont="1" applyFill="1" applyAlignment="1">
      <alignment/>
    </xf>
    <xf numFmtId="3" fontId="3" fillId="0" borderId="7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3" fontId="3" fillId="0" borderId="8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21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166" fontId="3" fillId="3" borderId="0" xfId="0" applyNumberFormat="1" applyFont="1" applyFill="1" applyAlignment="1">
      <alignment/>
    </xf>
    <xf numFmtId="37" fontId="3" fillId="3" borderId="2" xfId="0" applyNumberFormat="1" applyFont="1" applyFill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9" fontId="3" fillId="0" borderId="0" xfId="21" applyFont="1" applyAlignment="1">
      <alignment/>
    </xf>
    <xf numFmtId="0" fontId="3" fillId="3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6" borderId="0" xfId="0" applyNumberFormat="1" applyFont="1" applyFill="1" applyBorder="1" applyAlignment="1">
      <alignment/>
    </xf>
    <xf numFmtId="1" fontId="3" fillId="3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21" applyNumberFormat="1" applyFont="1" applyFill="1" applyAlignment="1">
      <alignment/>
    </xf>
    <xf numFmtId="1" fontId="3" fillId="6" borderId="0" xfId="0" applyNumberFormat="1" applyFont="1" applyFill="1" applyAlignment="1">
      <alignment/>
    </xf>
    <xf numFmtId="1" fontId="3" fillId="3" borderId="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" fontId="3" fillId="0" borderId="0" xfId="21" applyNumberFormat="1" applyFont="1" applyFill="1" applyAlignment="1">
      <alignment/>
    </xf>
    <xf numFmtId="1" fontId="3" fillId="6" borderId="2" xfId="0" applyNumberFormat="1" applyFont="1" applyFill="1" applyBorder="1" applyAlignment="1">
      <alignment/>
    </xf>
    <xf numFmtId="0" fontId="3" fillId="3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2" fontId="3" fillId="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2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5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172" fontId="3" fillId="3" borderId="0" xfId="17" applyNumberFormat="1" applyFont="1" applyFill="1" applyAlignment="1">
      <alignment/>
    </xf>
    <xf numFmtId="172" fontId="3" fillId="0" borderId="0" xfId="17" applyNumberFormat="1" applyFont="1" applyFill="1" applyAlignment="1">
      <alignment/>
    </xf>
    <xf numFmtId="0" fontId="3" fillId="4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" xfId="0" applyFont="1" applyBorder="1" applyAlignment="1">
      <alignment/>
    </xf>
    <xf numFmtId="169" fontId="3" fillId="0" borderId="0" xfId="15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3" xfId="15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" fontId="3" fillId="0" borderId="15" xfId="15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3" fillId="0" borderId="0" xfId="21" applyNumberFormat="1" applyFont="1" applyFill="1" applyAlignment="1">
      <alignment horizontal="center"/>
    </xf>
    <xf numFmtId="9" fontId="3" fillId="0" borderId="0" xfId="2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2" fontId="3" fillId="0" borderId="0" xfId="17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21" applyFont="1" applyAlignment="1">
      <alignment horizontal="center"/>
    </xf>
    <xf numFmtId="2" fontId="3" fillId="0" borderId="0" xfId="0" applyNumberFormat="1" applyFont="1" applyAlignment="1">
      <alignment horizontal="center"/>
    </xf>
    <xf numFmtId="172" fontId="3" fillId="4" borderId="0" xfId="17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6" borderId="0" xfId="0" applyFont="1" applyFill="1" applyAlignment="1">
      <alignment/>
    </xf>
    <xf numFmtId="0" fontId="1" fillId="0" borderId="0" xfId="0" applyFont="1" applyFill="1" applyAlignment="1">
      <alignment/>
    </xf>
    <xf numFmtId="10" fontId="3" fillId="0" borderId="0" xfId="21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8" xfId="0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3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9" fontId="0" fillId="0" borderId="8" xfId="0" applyNumberFormat="1" applyFill="1" applyBorder="1" applyAlignment="1">
      <alignment/>
    </xf>
    <xf numFmtId="172" fontId="0" fillId="0" borderId="8" xfId="17" applyNumberFormat="1" applyFill="1" applyBorder="1" applyAlignment="1">
      <alignment/>
    </xf>
    <xf numFmtId="164" fontId="0" fillId="0" borderId="8" xfId="21" applyNumberFormat="1" applyFill="1" applyBorder="1" applyAlignment="1">
      <alignment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Border="1" applyAlignment="1">
      <alignment/>
    </xf>
    <xf numFmtId="169" fontId="0" fillId="0" borderId="0" xfId="0" applyNumberFormat="1" applyBorder="1" applyAlignment="1">
      <alignment/>
    </xf>
    <xf numFmtId="0" fontId="3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3" fontId="0" fillId="0" borderId="0" xfId="15" applyFill="1" applyAlignment="1">
      <alignment/>
    </xf>
    <xf numFmtId="3" fontId="0" fillId="0" borderId="16" xfId="0" applyNumberFormat="1" applyBorder="1" applyAlignment="1">
      <alignment/>
    </xf>
    <xf numFmtId="169" fontId="0" fillId="7" borderId="0" xfId="15" applyNumberFormat="1" applyFill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9" fontId="13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9" fontId="13" fillId="0" borderId="0" xfId="15" applyNumberFormat="1" applyFont="1" applyFill="1" applyBorder="1" applyAlignment="1">
      <alignment/>
    </xf>
    <xf numFmtId="169" fontId="16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9" fontId="13" fillId="0" borderId="1" xfId="15" applyNumberFormat="1" applyFont="1" applyFill="1" applyBorder="1" applyAlignment="1">
      <alignment/>
    </xf>
    <xf numFmtId="169" fontId="13" fillId="0" borderId="1" xfId="15" applyNumberFormat="1" applyFont="1" applyBorder="1" applyAlignment="1">
      <alignment/>
    </xf>
    <xf numFmtId="169" fontId="13" fillId="0" borderId="0" xfId="15" applyNumberFormat="1" applyFont="1" applyAlignment="1">
      <alignment/>
    </xf>
    <xf numFmtId="10" fontId="0" fillId="0" borderId="0" xfId="21" applyNumberFormat="1" applyAlignment="1">
      <alignment/>
    </xf>
    <xf numFmtId="9" fontId="0" fillId="0" borderId="17" xfId="0" applyNumberFormat="1" applyBorder="1" applyAlignment="1">
      <alignment/>
    </xf>
    <xf numFmtId="10" fontId="0" fillId="0" borderId="0" xfId="0" applyNumberFormat="1" applyAlignment="1">
      <alignment/>
    </xf>
    <xf numFmtId="169" fontId="0" fillId="0" borderId="0" xfId="15" applyNumberFormat="1" applyFill="1" applyAlignment="1">
      <alignment/>
    </xf>
    <xf numFmtId="169" fontId="0" fillId="3" borderId="0" xfId="15" applyNumberFormat="1" applyFill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1" fontId="0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69" fontId="0" fillId="0" borderId="0" xfId="15" applyNumberFormat="1" applyAlignment="1">
      <alignment horizontal="right"/>
    </xf>
    <xf numFmtId="169" fontId="0" fillId="3" borderId="0" xfId="15" applyNumberFormat="1" applyFill="1" applyAlignment="1">
      <alignment horizontal="right"/>
    </xf>
    <xf numFmtId="169" fontId="0" fillId="0" borderId="1" xfId="15" applyNumberFormat="1" applyBorder="1" applyAlignment="1">
      <alignment horizontal="right"/>
    </xf>
    <xf numFmtId="169" fontId="11" fillId="0" borderId="0" xfId="15" applyNumberFormat="1" applyFont="1" applyAlignment="1">
      <alignment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0" xfId="21" applyNumberFormat="1" applyBorder="1" applyAlignment="1">
      <alignment/>
    </xf>
    <xf numFmtId="0" fontId="0" fillId="0" borderId="14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21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169" fontId="0" fillId="0" borderId="0" xfId="15" applyNumberFormat="1" applyFont="1" applyFill="1" applyAlignment="1">
      <alignment/>
    </xf>
    <xf numFmtId="9" fontId="0" fillId="0" borderId="0" xfId="21" applyFill="1" applyAlignment="1">
      <alignment/>
    </xf>
    <xf numFmtId="164" fontId="0" fillId="0" borderId="0" xfId="0" applyNumberFormat="1" applyFont="1" applyFill="1" applyAlignment="1">
      <alignment/>
    </xf>
    <xf numFmtId="169" fontId="0" fillId="7" borderId="1" xfId="15" applyNumberFormat="1" applyFill="1" applyBorder="1" applyAlignment="1">
      <alignment/>
    </xf>
    <xf numFmtId="169" fontId="0" fillId="4" borderId="1" xfId="15" applyNumberFormat="1" applyFill="1" applyBorder="1" applyAlignment="1">
      <alignment/>
    </xf>
    <xf numFmtId="3" fontId="0" fillId="7" borderId="0" xfId="0" applyNumberFormat="1" applyFill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37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7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1" xfId="0" applyNumberFormat="1" applyBorder="1" applyAlignment="1">
      <alignment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3" fontId="0" fillId="7" borderId="1" xfId="0" applyNumberFormat="1" applyFill="1" applyBorder="1" applyAlignment="1" applyProtection="1">
      <alignment/>
      <protection locked="0"/>
    </xf>
    <xf numFmtId="3" fontId="0" fillId="7" borderId="2" xfId="0" applyNumberForma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7" borderId="0" xfId="0" applyNumberForma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7" fontId="0" fillId="7" borderId="2" xfId="0" applyNumberFormat="1" applyFill="1" applyBorder="1" applyAlignment="1" applyProtection="1">
      <alignment/>
      <protection locked="0"/>
    </xf>
    <xf numFmtId="0" fontId="0" fillId="7" borderId="2" xfId="0" applyFill="1" applyBorder="1" applyAlignment="1" applyProtection="1">
      <alignment/>
      <protection locked="0"/>
    </xf>
    <xf numFmtId="1" fontId="0" fillId="7" borderId="0" xfId="0" applyNumberFormat="1" applyFill="1" applyAlignment="1" applyProtection="1">
      <alignment/>
      <protection locked="0"/>
    </xf>
    <xf numFmtId="1" fontId="0" fillId="7" borderId="2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1" fontId="0" fillId="7" borderId="7" xfId="0" applyNumberFormat="1" applyFill="1" applyBorder="1" applyAlignment="1">
      <alignment/>
    </xf>
    <xf numFmtId="1" fontId="0" fillId="7" borderId="0" xfId="0" applyNumberFormat="1" applyFill="1" applyBorder="1" applyAlignment="1" applyProtection="1">
      <alignment/>
      <protection locked="0"/>
    </xf>
    <xf numFmtId="1" fontId="0" fillId="7" borderId="0" xfId="0" applyNumberFormat="1" applyFill="1" applyAlignment="1">
      <alignment/>
    </xf>
    <xf numFmtId="1" fontId="0" fillId="7" borderId="2" xfId="0" applyNumberFormat="1" applyFill="1" applyBorder="1" applyAlignment="1">
      <alignment/>
    </xf>
    <xf numFmtId="1" fontId="0" fillId="7" borderId="1" xfId="0" applyNumberFormat="1" applyFill="1" applyBorder="1" applyAlignment="1" applyProtection="1">
      <alignment/>
      <protection locked="0"/>
    </xf>
    <xf numFmtId="2" fontId="0" fillId="7" borderId="0" xfId="0" applyNumberFormat="1" applyFill="1" applyAlignment="1" applyProtection="1">
      <alignment/>
      <protection locked="0"/>
    </xf>
    <xf numFmtId="2" fontId="0" fillId="7" borderId="2" xfId="0" applyNumberFormat="1" applyFill="1" applyBorder="1" applyAlignment="1" applyProtection="1">
      <alignment/>
      <protection locked="0"/>
    </xf>
    <xf numFmtId="43" fontId="0" fillId="7" borderId="0" xfId="15" applyFill="1" applyAlignment="1" applyProtection="1">
      <alignment/>
      <protection locked="0"/>
    </xf>
    <xf numFmtId="9" fontId="0" fillId="7" borderId="0" xfId="0" applyNumberFormat="1" applyFill="1" applyAlignment="1" applyProtection="1">
      <alignment/>
      <protection locked="0"/>
    </xf>
    <xf numFmtId="172" fontId="0" fillId="7" borderId="0" xfId="17" applyNumberFormat="1" applyFill="1" applyAlignment="1" applyProtection="1">
      <alignment/>
      <protection locked="0"/>
    </xf>
    <xf numFmtId="164" fontId="0" fillId="7" borderId="0" xfId="21" applyNumberFormat="1" applyFill="1" applyAlignment="1" applyProtection="1">
      <alignment/>
      <protection locked="0"/>
    </xf>
    <xf numFmtId="3" fontId="0" fillId="7" borderId="0" xfId="0" applyNumberFormat="1" applyFill="1" applyAlignment="1">
      <alignment/>
    </xf>
    <xf numFmtId="3" fontId="0" fillId="4" borderId="0" xfId="0" applyNumberFormat="1" applyFill="1" applyAlignment="1" applyProtection="1">
      <alignment/>
      <protection locked="0"/>
    </xf>
    <xf numFmtId="3" fontId="0" fillId="4" borderId="2" xfId="0" applyNumberForma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ill="1" applyAlignment="1">
      <alignment/>
    </xf>
    <xf numFmtId="0" fontId="0" fillId="4" borderId="0" xfId="0" applyFill="1" applyAlignment="1" applyProtection="1">
      <alignment/>
      <protection locked="0"/>
    </xf>
    <xf numFmtId="3" fontId="0" fillId="7" borderId="10" xfId="0" applyNumberFormat="1" applyFill="1" applyBorder="1" applyAlignment="1" applyProtection="1">
      <alignment/>
      <protection locked="0"/>
    </xf>
    <xf numFmtId="169" fontId="0" fillId="0" borderId="1" xfId="15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1" sqref="B21"/>
    </sheetView>
  </sheetViews>
  <sheetFormatPr defaultColWidth="9.140625" defaultRowHeight="12.75"/>
  <sheetData>
    <row r="1" ht="15.75">
      <c r="E1" s="13" t="s">
        <v>506</v>
      </c>
    </row>
    <row r="3" ht="12.75">
      <c r="A3" s="356" t="s">
        <v>507</v>
      </c>
    </row>
    <row r="4" ht="12.75">
      <c r="A4" t="s">
        <v>508</v>
      </c>
    </row>
    <row r="5" ht="12.75">
      <c r="A5" t="s">
        <v>509</v>
      </c>
    </row>
    <row r="6" ht="12.75">
      <c r="A6" t="s">
        <v>510</v>
      </c>
    </row>
    <row r="7" ht="12.75">
      <c r="A7" t="s">
        <v>511</v>
      </c>
    </row>
    <row r="8" spans="1:2" ht="12.75">
      <c r="A8" t="s">
        <v>29</v>
      </c>
      <c r="B8" t="s">
        <v>512</v>
      </c>
    </row>
    <row r="10" ht="12.75">
      <c r="A10" s="356" t="s">
        <v>513</v>
      </c>
    </row>
    <row r="11" ht="12.75">
      <c r="A11" t="s">
        <v>524</v>
      </c>
    </row>
    <row r="12" ht="12.75">
      <c r="A12" t="s">
        <v>570</v>
      </c>
    </row>
    <row r="13" ht="12.75">
      <c r="B13" t="s">
        <v>571</v>
      </c>
    </row>
    <row r="14" ht="12.75">
      <c r="B14" t="s">
        <v>572</v>
      </c>
    </row>
    <row r="15" ht="12.75">
      <c r="A15" t="s">
        <v>514</v>
      </c>
    </row>
    <row r="16" ht="12.75">
      <c r="A16" t="s">
        <v>525</v>
      </c>
    </row>
    <row r="17" ht="12.75">
      <c r="A17" t="s">
        <v>543</v>
      </c>
    </row>
    <row r="18" ht="12.75">
      <c r="A18" t="s">
        <v>515</v>
      </c>
    </row>
    <row r="19" ht="12.75">
      <c r="A19" t="s">
        <v>516</v>
      </c>
    </row>
    <row r="20" ht="12.75">
      <c r="A20" t="s">
        <v>517</v>
      </c>
    </row>
    <row r="22" spans="1:2" ht="12.75">
      <c r="A22" s="356" t="s">
        <v>518</v>
      </c>
      <c r="B22" t="s">
        <v>542</v>
      </c>
    </row>
    <row r="24" ht="12.75">
      <c r="A24" s="356" t="s">
        <v>519</v>
      </c>
    </row>
    <row r="25" ht="12.75">
      <c r="A25" t="s">
        <v>520</v>
      </c>
    </row>
    <row r="26" ht="12.75">
      <c r="A26" s="357" t="s">
        <v>521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0"/>
  <sheetViews>
    <sheetView workbookViewId="0" topLeftCell="A1">
      <pane xSplit="2" ySplit="4" topLeftCell="L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64" sqref="L64"/>
    </sheetView>
  </sheetViews>
  <sheetFormatPr defaultColWidth="9.140625" defaultRowHeight="13.5" customHeight="1"/>
  <cols>
    <col min="1" max="1" width="16.00390625" style="0" customWidth="1"/>
    <col min="2" max="2" width="11.140625" style="0" customWidth="1"/>
    <col min="3" max="3" width="11.28125" style="0" bestFit="1" customWidth="1"/>
    <col min="4" max="5" width="8.7109375" style="0" bestFit="1" customWidth="1"/>
    <col min="6" max="7" width="10.28125" style="0" bestFit="1" customWidth="1"/>
    <col min="8" max="9" width="8.7109375" style="0" bestFit="1" customWidth="1"/>
    <col min="10" max="10" width="3.140625" style="0" customWidth="1"/>
    <col min="11" max="11" width="11.28125" style="0" bestFit="1" customWidth="1"/>
    <col min="12" max="12" width="10.28125" style="0" bestFit="1" customWidth="1"/>
    <col min="13" max="14" width="8.7109375" style="0" bestFit="1" customWidth="1"/>
    <col min="15" max="15" width="10.28125" style="0" bestFit="1" customWidth="1"/>
    <col min="16" max="16" width="8.7109375" style="0" bestFit="1" customWidth="1"/>
    <col min="17" max="18" width="10.28125" style="0" bestFit="1" customWidth="1"/>
    <col min="19" max="19" width="4.00390625" style="0" customWidth="1"/>
    <col min="20" max="20" width="15.00390625" style="0" customWidth="1"/>
    <col min="21" max="21" width="11.28125" style="0" bestFit="1" customWidth="1"/>
    <col min="22" max="22" width="10.28125" style="0" bestFit="1" customWidth="1"/>
  </cols>
  <sheetData>
    <row r="2" spans="1:20" ht="13.5" customHeight="1">
      <c r="A2" s="179" t="s">
        <v>586</v>
      </c>
      <c r="L2" t="s">
        <v>295</v>
      </c>
      <c r="T2" t="s">
        <v>632</v>
      </c>
    </row>
    <row r="3" spans="5:20" s="43" customFormat="1" ht="13.5" customHeight="1">
      <c r="E3" s="43" t="s">
        <v>500</v>
      </c>
      <c r="F3" s="43" t="s">
        <v>134</v>
      </c>
      <c r="K3" s="43" t="s">
        <v>204</v>
      </c>
      <c r="L3" s="43" t="s">
        <v>16</v>
      </c>
      <c r="N3" s="43" t="s">
        <v>200</v>
      </c>
      <c r="P3" s="43" t="s">
        <v>202</v>
      </c>
      <c r="Q3" s="43" t="s">
        <v>181</v>
      </c>
      <c r="T3" s="43" t="s">
        <v>139</v>
      </c>
    </row>
    <row r="4" spans="3:21" s="43" customFormat="1" ht="13.5" customHeight="1">
      <c r="C4" s="44" t="s">
        <v>141</v>
      </c>
      <c r="D4" s="44" t="s">
        <v>133</v>
      </c>
      <c r="E4" s="44" t="s">
        <v>136</v>
      </c>
      <c r="F4" s="44" t="s">
        <v>135</v>
      </c>
      <c r="G4" s="44" t="s">
        <v>136</v>
      </c>
      <c r="H4" s="44" t="s">
        <v>137</v>
      </c>
      <c r="I4" s="44" t="s">
        <v>138</v>
      </c>
      <c r="K4" s="44" t="s">
        <v>139</v>
      </c>
      <c r="L4" s="44" t="s">
        <v>129</v>
      </c>
      <c r="M4" s="44" t="s">
        <v>140</v>
      </c>
      <c r="N4" s="44" t="s">
        <v>201</v>
      </c>
      <c r="O4" s="44" t="s">
        <v>154</v>
      </c>
      <c r="P4" s="44" t="s">
        <v>203</v>
      </c>
      <c r="Q4" s="44" t="s">
        <v>182</v>
      </c>
      <c r="R4" s="44" t="s">
        <v>197</v>
      </c>
      <c r="T4" s="43" t="s">
        <v>614</v>
      </c>
      <c r="U4" s="43" t="s">
        <v>631</v>
      </c>
    </row>
    <row r="5" spans="1:11" ht="13.5" customHeight="1">
      <c r="A5" s="19" t="s">
        <v>16</v>
      </c>
      <c r="K5" t="s">
        <v>16</v>
      </c>
    </row>
    <row r="6" spans="1:20" ht="13.5" customHeight="1">
      <c r="A6" s="19" t="s">
        <v>142</v>
      </c>
      <c r="C6" s="47">
        <v>200</v>
      </c>
      <c r="D6" s="47"/>
      <c r="E6" s="47"/>
      <c r="F6" s="47">
        <v>11000</v>
      </c>
      <c r="G6" s="47"/>
      <c r="H6" s="47"/>
      <c r="I6" s="47"/>
      <c r="J6" s="47"/>
      <c r="K6" s="47">
        <f aca="true" t="shared" si="0" ref="K6:K66">SUM(C6:I6)</f>
        <v>11200</v>
      </c>
      <c r="L6" s="47"/>
      <c r="M6" s="47"/>
      <c r="N6" s="47"/>
      <c r="O6" s="47"/>
      <c r="P6" s="47"/>
      <c r="Q6" s="47"/>
      <c r="R6" s="47"/>
      <c r="S6" s="47"/>
      <c r="T6" s="47">
        <f>SUM(K6:S6)</f>
        <v>11200</v>
      </c>
    </row>
    <row r="7" spans="1:20" ht="13.5" customHeight="1">
      <c r="A7" s="19" t="s">
        <v>143</v>
      </c>
      <c r="C7" s="47">
        <f>59661+4500+500</f>
        <v>64661</v>
      </c>
      <c r="D7" s="47"/>
      <c r="E7" s="47"/>
      <c r="F7" s="47">
        <v>70400</v>
      </c>
      <c r="G7" s="47">
        <v>1750</v>
      </c>
      <c r="H7" s="47"/>
      <c r="I7" s="47">
        <v>800</v>
      </c>
      <c r="J7" s="47"/>
      <c r="K7" s="47">
        <f t="shared" si="0"/>
        <v>137611</v>
      </c>
      <c r="L7" s="47">
        <v>14642</v>
      </c>
      <c r="M7" s="47"/>
      <c r="N7" s="47">
        <f>236</f>
        <v>236</v>
      </c>
      <c r="O7" s="47"/>
      <c r="P7" s="47"/>
      <c r="Q7" s="47"/>
      <c r="R7" s="47"/>
      <c r="S7" s="47"/>
      <c r="T7" s="47">
        <f aca="true" t="shared" si="1" ref="T7:T63">SUM(K7:S7)</f>
        <v>152489</v>
      </c>
    </row>
    <row r="8" spans="1:20" ht="13.5" customHeight="1">
      <c r="A8" s="19" t="s">
        <v>144</v>
      </c>
      <c r="C8" s="47">
        <f>74608+31510+13250+275</f>
        <v>119643</v>
      </c>
      <c r="D8" s="47"/>
      <c r="E8" s="47"/>
      <c r="F8" s="47">
        <v>0</v>
      </c>
      <c r="G8" s="47">
        <v>3200</v>
      </c>
      <c r="H8" s="47"/>
      <c r="I8" s="47">
        <v>1000</v>
      </c>
      <c r="J8" s="47"/>
      <c r="K8" s="47">
        <f t="shared" si="0"/>
        <v>123843</v>
      </c>
      <c r="L8" s="47">
        <v>15342</v>
      </c>
      <c r="M8" s="47">
        <v>349</v>
      </c>
      <c r="N8" s="47">
        <v>472</v>
      </c>
      <c r="O8" s="47"/>
      <c r="P8" s="47"/>
      <c r="Q8" s="47"/>
      <c r="R8" s="47"/>
      <c r="S8" s="47"/>
      <c r="T8" s="47">
        <f t="shared" si="1"/>
        <v>140006</v>
      </c>
    </row>
    <row r="9" spans="1:20" ht="13.5" customHeight="1">
      <c r="A9" s="19" t="s">
        <v>145</v>
      </c>
      <c r="C9" s="47">
        <f>47877+14000+4895</f>
        <v>66772</v>
      </c>
      <c r="D9" s="47"/>
      <c r="E9" s="47"/>
      <c r="F9" s="47">
        <v>0</v>
      </c>
      <c r="G9" s="47">
        <v>0</v>
      </c>
      <c r="H9" s="47"/>
      <c r="I9" s="47">
        <v>8230</v>
      </c>
      <c r="J9" s="47"/>
      <c r="K9" s="47">
        <f t="shared" si="0"/>
        <v>75002</v>
      </c>
      <c r="L9" s="47">
        <v>40911</v>
      </c>
      <c r="M9" s="47"/>
      <c r="N9" s="47">
        <v>205</v>
      </c>
      <c r="O9" s="47"/>
      <c r="P9" s="47"/>
      <c r="Q9" s="47"/>
      <c r="R9" s="47"/>
      <c r="S9" s="47"/>
      <c r="T9" s="47">
        <f t="shared" si="1"/>
        <v>116118</v>
      </c>
    </row>
    <row r="10" spans="1:21" ht="13.5" customHeight="1">
      <c r="A10" s="19" t="s">
        <v>146</v>
      </c>
      <c r="C10" s="47">
        <v>2000</v>
      </c>
      <c r="D10" s="47"/>
      <c r="E10" s="47"/>
      <c r="F10" s="47">
        <v>5200</v>
      </c>
      <c r="G10" s="47"/>
      <c r="H10" s="47"/>
      <c r="I10" s="47"/>
      <c r="J10" s="47"/>
      <c r="K10" s="47">
        <f t="shared" si="0"/>
        <v>7200</v>
      </c>
      <c r="L10" s="47"/>
      <c r="M10" s="47"/>
      <c r="N10" s="47"/>
      <c r="O10" s="47"/>
      <c r="P10" s="47"/>
      <c r="Q10" s="47"/>
      <c r="R10" s="47"/>
      <c r="S10" s="47"/>
      <c r="T10" s="47">
        <f t="shared" si="1"/>
        <v>7200</v>
      </c>
      <c r="U10">
        <v>0</v>
      </c>
    </row>
    <row r="11" spans="1:20" ht="13.5" customHeight="1">
      <c r="A11" s="19" t="s">
        <v>147</v>
      </c>
      <c r="C11" s="47">
        <v>17277</v>
      </c>
      <c r="D11" s="47"/>
      <c r="E11" s="47"/>
      <c r="F11" s="47">
        <v>500</v>
      </c>
      <c r="G11" s="47">
        <v>1500</v>
      </c>
      <c r="H11" s="47"/>
      <c r="I11" s="47"/>
      <c r="J11" s="47"/>
      <c r="K11" s="47">
        <f t="shared" si="0"/>
        <v>19277</v>
      </c>
      <c r="L11" s="47"/>
      <c r="M11" s="47"/>
      <c r="N11" s="47"/>
      <c r="O11" s="47"/>
      <c r="P11" s="47"/>
      <c r="Q11" s="47"/>
      <c r="R11" s="47"/>
      <c r="S11" s="47"/>
      <c r="T11" s="47">
        <f t="shared" si="1"/>
        <v>19277</v>
      </c>
    </row>
    <row r="12" spans="1:20" ht="13.5" customHeight="1">
      <c r="A12" s="19" t="s">
        <v>148</v>
      </c>
      <c r="C12" s="47">
        <v>196900</v>
      </c>
      <c r="D12" s="47">
        <v>1200</v>
      </c>
      <c r="E12" s="47"/>
      <c r="F12" s="51">
        <f>34400-1200</f>
        <v>33200</v>
      </c>
      <c r="G12" s="47">
        <v>2100</v>
      </c>
      <c r="H12" s="47"/>
      <c r="I12" s="47">
        <v>5600</v>
      </c>
      <c r="J12" s="47"/>
      <c r="K12" s="47">
        <f t="shared" si="0"/>
        <v>239000</v>
      </c>
      <c r="L12" s="47">
        <v>5404</v>
      </c>
      <c r="M12" s="47">
        <v>3814</v>
      </c>
      <c r="N12" s="51">
        <v>831</v>
      </c>
      <c r="O12" s="47"/>
      <c r="P12" s="47"/>
      <c r="Q12" s="47"/>
      <c r="R12" s="47"/>
      <c r="S12" s="47"/>
      <c r="T12" s="47">
        <f t="shared" si="1"/>
        <v>249049</v>
      </c>
    </row>
    <row r="13" spans="1:21" ht="13.5" customHeight="1">
      <c r="A13" s="19" t="s">
        <v>306</v>
      </c>
      <c r="C13" s="47">
        <v>210004</v>
      </c>
      <c r="D13" s="47"/>
      <c r="E13" s="47"/>
      <c r="F13" s="51">
        <f>30060+5000</f>
        <v>35060</v>
      </c>
      <c r="G13" s="47">
        <v>11065</v>
      </c>
      <c r="H13" s="350">
        <f>125000</f>
        <v>125000</v>
      </c>
      <c r="I13" s="47">
        <v>2750</v>
      </c>
      <c r="J13" s="47"/>
      <c r="K13" s="47">
        <f t="shared" si="0"/>
        <v>383879</v>
      </c>
      <c r="L13" s="47">
        <v>29283</v>
      </c>
      <c r="M13" s="47">
        <v>1420</v>
      </c>
      <c r="N13" s="51">
        <v>483</v>
      </c>
      <c r="O13" s="47"/>
      <c r="P13" s="47"/>
      <c r="Q13" s="47"/>
      <c r="R13" s="47"/>
      <c r="S13" s="47"/>
      <c r="T13" s="47">
        <f t="shared" si="1"/>
        <v>415065</v>
      </c>
      <c r="U13">
        <v>5000</v>
      </c>
    </row>
    <row r="14" spans="1:20" ht="13.5" customHeight="1">
      <c r="A14" s="19" t="s">
        <v>131</v>
      </c>
      <c r="C14" s="47">
        <f>137849+27387</f>
        <v>165236</v>
      </c>
      <c r="D14" s="47"/>
      <c r="E14" s="47"/>
      <c r="F14" s="47">
        <v>18875</v>
      </c>
      <c r="G14" s="47">
        <v>1755</v>
      </c>
      <c r="H14" s="47">
        <v>0</v>
      </c>
      <c r="I14" s="47">
        <v>1650</v>
      </c>
      <c r="J14" s="47"/>
      <c r="K14" s="47">
        <f t="shared" si="0"/>
        <v>187516</v>
      </c>
      <c r="L14" s="47">
        <v>29283</v>
      </c>
      <c r="M14" s="47">
        <v>1706</v>
      </c>
      <c r="N14" s="47">
        <v>552</v>
      </c>
      <c r="O14" s="47"/>
      <c r="P14" s="47"/>
      <c r="Q14" s="47"/>
      <c r="R14" s="47"/>
      <c r="S14" s="47"/>
      <c r="T14" s="47">
        <f t="shared" si="1"/>
        <v>219057</v>
      </c>
    </row>
    <row r="15" spans="1:20" ht="13.5" customHeight="1">
      <c r="A15" s="19" t="s">
        <v>149</v>
      </c>
      <c r="C15" s="47"/>
      <c r="D15" s="47"/>
      <c r="E15" s="47"/>
      <c r="F15" s="47">
        <v>290000</v>
      </c>
      <c r="G15" s="47"/>
      <c r="H15" s="47"/>
      <c r="I15" s="47">
        <v>5000</v>
      </c>
      <c r="J15" s="47"/>
      <c r="K15" s="47">
        <f t="shared" si="0"/>
        <v>295000</v>
      </c>
      <c r="L15" s="47"/>
      <c r="M15" s="47"/>
      <c r="N15" s="47"/>
      <c r="O15" s="47"/>
      <c r="P15" s="47"/>
      <c r="Q15" s="47"/>
      <c r="R15" s="47"/>
      <c r="S15" s="47"/>
      <c r="T15" s="47">
        <f t="shared" si="1"/>
        <v>295000</v>
      </c>
    </row>
    <row r="16" spans="1:20" ht="13.5" customHeight="1">
      <c r="A16" s="19" t="s">
        <v>150</v>
      </c>
      <c r="C16" s="47">
        <v>183362</v>
      </c>
      <c r="D16" s="47">
        <v>0</v>
      </c>
      <c r="E16" s="47"/>
      <c r="F16" s="47">
        <v>67100</v>
      </c>
      <c r="G16" s="47">
        <v>2950</v>
      </c>
      <c r="H16" s="47"/>
      <c r="I16" s="47">
        <v>15530</v>
      </c>
      <c r="J16" s="47"/>
      <c r="K16" s="47">
        <f t="shared" si="0"/>
        <v>268942</v>
      </c>
      <c r="L16" s="47">
        <v>20046</v>
      </c>
      <c r="M16" s="47">
        <v>2000</v>
      </c>
      <c r="N16" s="47">
        <v>587</v>
      </c>
      <c r="O16" s="47"/>
      <c r="P16" s="47"/>
      <c r="Q16" s="47"/>
      <c r="R16" s="47"/>
      <c r="S16" s="47"/>
      <c r="T16" s="350">
        <f t="shared" si="1"/>
        <v>291575</v>
      </c>
    </row>
    <row r="17" spans="1:20" ht="13.5" customHeight="1">
      <c r="A17" s="19" t="s">
        <v>151</v>
      </c>
      <c r="C17" s="47">
        <v>207913</v>
      </c>
      <c r="D17" s="47"/>
      <c r="E17" s="47"/>
      <c r="F17" s="47">
        <v>79900</v>
      </c>
      <c r="G17" s="47">
        <v>3000</v>
      </c>
      <c r="H17" s="47"/>
      <c r="I17" s="47">
        <v>6600</v>
      </c>
      <c r="J17" s="47"/>
      <c r="K17" s="47">
        <f t="shared" si="0"/>
        <v>297413</v>
      </c>
      <c r="L17" s="47">
        <v>37784</v>
      </c>
      <c r="M17" s="47">
        <v>2810</v>
      </c>
      <c r="N17" s="47">
        <v>848</v>
      </c>
      <c r="O17" s="47"/>
      <c r="P17" s="47"/>
      <c r="Q17" s="47"/>
      <c r="R17" s="47"/>
      <c r="S17" s="47"/>
      <c r="T17" s="350">
        <f t="shared" si="1"/>
        <v>338855</v>
      </c>
    </row>
    <row r="18" spans="1:20" ht="13.5" customHeight="1">
      <c r="A18" s="19" t="s">
        <v>152</v>
      </c>
      <c r="C18" s="47">
        <f>71690+224457+62261+2999</f>
        <v>361407</v>
      </c>
      <c r="D18" s="47"/>
      <c r="E18" s="47"/>
      <c r="F18" s="51">
        <v>75076</v>
      </c>
      <c r="G18" s="47">
        <v>9600</v>
      </c>
      <c r="H18" s="47"/>
      <c r="I18" s="47">
        <v>6200</v>
      </c>
      <c r="J18" s="47"/>
      <c r="K18" s="47">
        <f t="shared" si="0"/>
        <v>452283</v>
      </c>
      <c r="L18" s="47">
        <v>60137</v>
      </c>
      <c r="M18" s="47">
        <v>3249</v>
      </c>
      <c r="N18" s="47">
        <v>1425</v>
      </c>
      <c r="O18" s="47"/>
      <c r="P18" s="47"/>
      <c r="Q18" s="47"/>
      <c r="R18" s="47"/>
      <c r="S18" s="47"/>
      <c r="T18" s="350">
        <f>SUM(K18:S18)</f>
        <v>517094</v>
      </c>
    </row>
    <row r="19" spans="1:20" ht="13.5" customHeight="1">
      <c r="A19" s="19" t="s">
        <v>153</v>
      </c>
      <c r="C19" s="47">
        <v>3000</v>
      </c>
      <c r="D19" s="47"/>
      <c r="E19" s="47"/>
      <c r="F19" s="47">
        <v>39000</v>
      </c>
      <c r="G19" s="47">
        <v>0</v>
      </c>
      <c r="H19" s="47"/>
      <c r="I19" s="47"/>
      <c r="J19" s="47"/>
      <c r="K19" s="47">
        <f t="shared" si="0"/>
        <v>42000</v>
      </c>
      <c r="L19" s="47">
        <v>0</v>
      </c>
      <c r="M19" s="47">
        <v>0</v>
      </c>
      <c r="N19" s="47">
        <v>13</v>
      </c>
      <c r="O19" s="47"/>
      <c r="P19" s="47"/>
      <c r="Q19" s="47"/>
      <c r="R19" s="47"/>
      <c r="S19" s="47"/>
      <c r="T19" s="350">
        <f t="shared" si="1"/>
        <v>42013</v>
      </c>
    </row>
    <row r="20" spans="1:21" ht="13.5" customHeight="1">
      <c r="A20" s="19" t="s">
        <v>155</v>
      </c>
      <c r="C20" s="47"/>
      <c r="D20" s="47"/>
      <c r="E20" s="47"/>
      <c r="F20" s="47"/>
      <c r="G20" s="47"/>
      <c r="H20" s="47"/>
      <c r="I20" s="47"/>
      <c r="J20" s="47"/>
      <c r="K20" s="47">
        <f t="shared" si="0"/>
        <v>0</v>
      </c>
      <c r="L20" s="47"/>
      <c r="M20" s="47"/>
      <c r="N20" s="47"/>
      <c r="O20" s="47"/>
      <c r="P20" s="47">
        <v>400000</v>
      </c>
      <c r="Q20" s="47"/>
      <c r="R20" s="47"/>
      <c r="S20" s="47"/>
      <c r="T20" s="47">
        <f t="shared" si="1"/>
        <v>400000</v>
      </c>
      <c r="U20" t="s">
        <v>629</v>
      </c>
    </row>
    <row r="21" spans="1:21" ht="13.5" customHeight="1">
      <c r="A21" s="19" t="s">
        <v>154</v>
      </c>
      <c r="C21" s="47"/>
      <c r="D21" s="47"/>
      <c r="E21" s="47"/>
      <c r="F21" s="47"/>
      <c r="G21" s="47"/>
      <c r="H21" s="47"/>
      <c r="I21" s="47"/>
      <c r="J21" s="47"/>
      <c r="K21" s="47">
        <f t="shared" si="0"/>
        <v>0</v>
      </c>
      <c r="L21" s="47"/>
      <c r="M21" s="47"/>
      <c r="N21" s="47"/>
      <c r="O21" s="47">
        <v>3517316</v>
      </c>
      <c r="P21" s="47"/>
      <c r="Q21" s="47"/>
      <c r="R21" s="47"/>
      <c r="S21" s="47"/>
      <c r="T21" s="47">
        <f t="shared" si="1"/>
        <v>3517316</v>
      </c>
      <c r="U21" t="s">
        <v>629</v>
      </c>
    </row>
    <row r="22" spans="1:22" ht="13.5" customHeight="1">
      <c r="A22" s="19" t="s">
        <v>199</v>
      </c>
      <c r="C22" s="47">
        <v>0</v>
      </c>
      <c r="D22" s="47"/>
      <c r="E22" s="47"/>
      <c r="F22" s="47">
        <f>18000+2600</f>
        <v>20600</v>
      </c>
      <c r="G22" s="47"/>
      <c r="H22" s="47"/>
      <c r="I22" s="47">
        <v>312000</v>
      </c>
      <c r="J22" s="47"/>
      <c r="K22" s="47">
        <f t="shared" si="0"/>
        <v>332600</v>
      </c>
      <c r="L22" s="51">
        <f>1590000+130000</f>
        <v>1720000</v>
      </c>
      <c r="M22" s="47">
        <v>33000</v>
      </c>
      <c r="N22" s="47">
        <f>20000+15000+12000</f>
        <v>47000</v>
      </c>
      <c r="O22" s="47"/>
      <c r="P22" s="47"/>
      <c r="Q22" s="47"/>
      <c r="R22" s="47"/>
      <c r="S22" s="47"/>
      <c r="T22" s="47">
        <f t="shared" si="1"/>
        <v>2132600</v>
      </c>
      <c r="V22" s="176">
        <f>SUM(T6:T22)</f>
        <v>8863914</v>
      </c>
    </row>
    <row r="23" spans="1:20" ht="13.5" customHeight="1">
      <c r="A23" s="19" t="s">
        <v>156</v>
      </c>
      <c r="C23" s="47">
        <v>290336</v>
      </c>
      <c r="D23" s="47"/>
      <c r="E23" s="47">
        <v>0</v>
      </c>
      <c r="F23" s="47">
        <v>13371</v>
      </c>
      <c r="G23" s="47">
        <f>10429-2420</f>
        <v>8009</v>
      </c>
      <c r="H23" s="47"/>
      <c r="I23" s="47">
        <v>7335</v>
      </c>
      <c r="J23" s="47"/>
      <c r="K23" s="47">
        <f t="shared" si="0"/>
        <v>319051</v>
      </c>
      <c r="L23" s="47">
        <v>29283</v>
      </c>
      <c r="M23" s="47">
        <v>460</v>
      </c>
      <c r="N23" s="47">
        <v>96</v>
      </c>
      <c r="O23" s="47"/>
      <c r="P23" s="47"/>
      <c r="Q23" s="47"/>
      <c r="R23" s="47"/>
      <c r="S23" s="47"/>
      <c r="T23" s="47">
        <f t="shared" si="1"/>
        <v>348890</v>
      </c>
    </row>
    <row r="24" spans="1:20" ht="13.5" customHeight="1">
      <c r="A24" s="19" t="s">
        <v>157</v>
      </c>
      <c r="C24" s="47">
        <v>562316</v>
      </c>
      <c r="D24" s="47">
        <v>41000</v>
      </c>
      <c r="E24" s="47"/>
      <c r="F24" s="47">
        <f>73500-41000</f>
        <v>32500</v>
      </c>
      <c r="G24" s="47">
        <v>3600</v>
      </c>
      <c r="H24" s="47"/>
      <c r="I24" s="47"/>
      <c r="J24" s="47"/>
      <c r="K24" s="47">
        <f t="shared" si="0"/>
        <v>639416</v>
      </c>
      <c r="L24" s="47">
        <v>104062</v>
      </c>
      <c r="M24" s="47">
        <v>5525</v>
      </c>
      <c r="N24" s="47">
        <f>2900+114+1676</f>
        <v>4690</v>
      </c>
      <c r="O24" s="47"/>
      <c r="P24" s="47"/>
      <c r="Q24" s="47"/>
      <c r="R24" s="47"/>
      <c r="S24" s="47"/>
      <c r="T24" s="47">
        <f t="shared" si="1"/>
        <v>753693</v>
      </c>
    </row>
    <row r="25" spans="1:20" ht="13.5" customHeight="1">
      <c r="A25" s="19" t="s">
        <v>158</v>
      </c>
      <c r="C25" s="47">
        <f>61178+425</f>
        <v>61603</v>
      </c>
      <c r="D25" s="47"/>
      <c r="E25" s="47"/>
      <c r="F25" s="47">
        <v>4600</v>
      </c>
      <c r="G25" s="47">
        <v>3556</v>
      </c>
      <c r="H25" s="47"/>
      <c r="I25" s="47"/>
      <c r="J25" s="47"/>
      <c r="K25" s="47">
        <f t="shared" si="0"/>
        <v>69759</v>
      </c>
      <c r="L25" s="47">
        <v>0</v>
      </c>
      <c r="M25" s="47">
        <v>600</v>
      </c>
      <c r="N25" s="47">
        <v>85</v>
      </c>
      <c r="O25" s="47"/>
      <c r="P25" s="47"/>
      <c r="Q25" s="47"/>
      <c r="R25" s="47"/>
      <c r="S25" s="47"/>
      <c r="T25" s="47">
        <f t="shared" si="1"/>
        <v>70444</v>
      </c>
    </row>
    <row r="26" spans="1:21" ht="13.5" customHeight="1">
      <c r="A26" s="19" t="s">
        <v>159</v>
      </c>
      <c r="C26" s="51">
        <f>2015885+160000+33197+93818+80989+54902+30000+5000+36200</f>
        <v>2509991</v>
      </c>
      <c r="D26" s="51">
        <v>0</v>
      </c>
      <c r="E26" s="51">
        <v>57007</v>
      </c>
      <c r="F26" s="47">
        <v>63288</v>
      </c>
      <c r="G26" s="47">
        <f>89407-57007</f>
        <v>32400</v>
      </c>
      <c r="H26" s="47">
        <v>116600</v>
      </c>
      <c r="I26" s="47">
        <v>2263</v>
      </c>
      <c r="J26" s="47"/>
      <c r="K26" s="47">
        <f t="shared" si="0"/>
        <v>2781549</v>
      </c>
      <c r="L26" s="47">
        <v>483377</v>
      </c>
      <c r="M26" s="47">
        <v>22836</v>
      </c>
      <c r="N26" s="47">
        <v>0</v>
      </c>
      <c r="O26" s="47"/>
      <c r="P26" s="47"/>
      <c r="Q26" s="47"/>
      <c r="R26" s="47"/>
      <c r="S26" s="47"/>
      <c r="T26" s="47">
        <f t="shared" si="1"/>
        <v>3287762</v>
      </c>
      <c r="U26">
        <v>36200</v>
      </c>
    </row>
    <row r="27" spans="1:20" ht="13.5" customHeight="1">
      <c r="A27" s="19" t="s">
        <v>160</v>
      </c>
      <c r="C27" s="47">
        <v>396550</v>
      </c>
      <c r="D27" s="47"/>
      <c r="E27" s="47">
        <v>0</v>
      </c>
      <c r="F27" s="47">
        <v>4700</v>
      </c>
      <c r="G27" s="47">
        <f>18468-7047</f>
        <v>11421</v>
      </c>
      <c r="H27" s="47"/>
      <c r="I27" s="47">
        <v>210</v>
      </c>
      <c r="J27" s="47"/>
      <c r="K27" s="47">
        <f t="shared" si="0"/>
        <v>412881</v>
      </c>
      <c r="L27" s="47">
        <v>25450</v>
      </c>
      <c r="M27" s="47">
        <v>2232</v>
      </c>
      <c r="N27" s="47">
        <v>2598</v>
      </c>
      <c r="O27" s="47"/>
      <c r="P27" s="47"/>
      <c r="Q27" s="47"/>
      <c r="R27" s="47"/>
      <c r="S27" s="47"/>
      <c r="T27" s="47">
        <f t="shared" si="1"/>
        <v>443161</v>
      </c>
    </row>
    <row r="28" spans="1:20" ht="13.5" customHeight="1">
      <c r="A28" s="19" t="s">
        <v>161</v>
      </c>
      <c r="C28" s="47">
        <v>304123</v>
      </c>
      <c r="D28" s="47"/>
      <c r="E28" s="47">
        <v>0</v>
      </c>
      <c r="F28" s="47">
        <v>3930</v>
      </c>
      <c r="G28" s="47">
        <v>8783</v>
      </c>
      <c r="H28" s="47"/>
      <c r="I28" s="47">
        <v>135</v>
      </c>
      <c r="J28" s="47"/>
      <c r="K28" s="47">
        <f t="shared" si="0"/>
        <v>316971</v>
      </c>
      <c r="L28" s="47">
        <v>0</v>
      </c>
      <c r="M28" s="47">
        <v>2400</v>
      </c>
      <c r="N28" s="47">
        <v>0</v>
      </c>
      <c r="O28" s="47"/>
      <c r="P28" s="47"/>
      <c r="Q28" s="47"/>
      <c r="R28" s="47"/>
      <c r="S28" s="47"/>
      <c r="T28" s="350">
        <f t="shared" si="1"/>
        <v>319371</v>
      </c>
    </row>
    <row r="29" spans="1:20" ht="13.5" customHeight="1">
      <c r="A29" s="19" t="s">
        <v>162</v>
      </c>
      <c r="C29" s="47">
        <v>216462</v>
      </c>
      <c r="D29" s="47"/>
      <c r="E29" s="47">
        <v>0</v>
      </c>
      <c r="F29" s="47">
        <v>8379</v>
      </c>
      <c r="G29" s="47">
        <f>7225-2424</f>
        <v>4801</v>
      </c>
      <c r="H29" s="47"/>
      <c r="I29" s="47">
        <v>689</v>
      </c>
      <c r="J29" s="47"/>
      <c r="K29" s="47">
        <f t="shared" si="0"/>
        <v>230331</v>
      </c>
      <c r="L29" s="47">
        <v>5404</v>
      </c>
      <c r="M29" s="47">
        <v>2300</v>
      </c>
      <c r="N29" s="47">
        <v>2040</v>
      </c>
      <c r="O29" s="47"/>
      <c r="P29" s="47"/>
      <c r="Q29" s="47"/>
      <c r="R29" s="47"/>
      <c r="S29" s="47"/>
      <c r="T29" s="350">
        <f t="shared" si="1"/>
        <v>240075</v>
      </c>
    </row>
    <row r="30" spans="1:20" ht="13.5" customHeight="1">
      <c r="A30" s="19" t="s">
        <v>163</v>
      </c>
      <c r="C30" s="47">
        <f>213359+16000+1890+9008+2100+4650</f>
        <v>247007</v>
      </c>
      <c r="D30" s="47"/>
      <c r="E30" s="47"/>
      <c r="F30" s="47">
        <v>7200</v>
      </c>
      <c r="G30" s="47">
        <v>10847</v>
      </c>
      <c r="H30" s="47"/>
      <c r="I30" s="47">
        <v>1800</v>
      </c>
      <c r="J30" s="47"/>
      <c r="K30" s="47">
        <f t="shared" si="0"/>
        <v>266854</v>
      </c>
      <c r="L30" s="47">
        <v>34687</v>
      </c>
      <c r="M30" s="47">
        <v>200</v>
      </c>
      <c r="N30" s="47">
        <v>39</v>
      </c>
      <c r="O30" s="47"/>
      <c r="P30" s="47"/>
      <c r="Q30" s="47"/>
      <c r="R30" s="47"/>
      <c r="S30" s="47"/>
      <c r="T30" s="350">
        <f t="shared" si="1"/>
        <v>301780</v>
      </c>
    </row>
    <row r="31" spans="1:20" ht="13.5" customHeight="1">
      <c r="A31" s="19" t="s">
        <v>164</v>
      </c>
      <c r="B31" t="s">
        <v>16</v>
      </c>
      <c r="C31" s="47">
        <f>2612964+321900+16000+134779+12486+30485+13000+54600+5000+24894</f>
        <v>3226108</v>
      </c>
      <c r="D31" s="47"/>
      <c r="E31" s="47">
        <v>20000</v>
      </c>
      <c r="F31" s="47">
        <v>17800</v>
      </c>
      <c r="G31" s="47">
        <f>63000-20000</f>
        <v>43000</v>
      </c>
      <c r="H31" s="47">
        <v>7000</v>
      </c>
      <c r="I31" s="47">
        <v>2500</v>
      </c>
      <c r="J31" s="47"/>
      <c r="K31" s="47">
        <f t="shared" si="0"/>
        <v>3316408</v>
      </c>
      <c r="L31" s="47">
        <v>662832</v>
      </c>
      <c r="M31" s="47">
        <v>29014</v>
      </c>
      <c r="N31" s="47">
        <v>512</v>
      </c>
      <c r="O31" s="47"/>
      <c r="P31" s="47"/>
      <c r="Q31" s="47"/>
      <c r="R31" s="47"/>
      <c r="S31" s="47"/>
      <c r="T31" s="350">
        <f t="shared" si="1"/>
        <v>4008766</v>
      </c>
    </row>
    <row r="32" spans="1:20" ht="13.5" customHeight="1">
      <c r="A32" s="19" t="s">
        <v>165</v>
      </c>
      <c r="C32" s="47">
        <v>116375</v>
      </c>
      <c r="D32" s="47"/>
      <c r="E32" s="47">
        <v>5000</v>
      </c>
      <c r="F32" s="47">
        <v>4000</v>
      </c>
      <c r="G32" s="51">
        <v>16000</v>
      </c>
      <c r="H32" s="47">
        <v>0</v>
      </c>
      <c r="I32" s="47"/>
      <c r="J32" s="47"/>
      <c r="K32" s="47">
        <f t="shared" si="0"/>
        <v>141375</v>
      </c>
      <c r="L32" s="47">
        <v>0</v>
      </c>
      <c r="M32" s="47">
        <v>0</v>
      </c>
      <c r="N32" s="47" t="s">
        <v>16</v>
      </c>
      <c r="O32" s="47"/>
      <c r="P32" s="47"/>
      <c r="Q32" s="47"/>
      <c r="R32" s="47"/>
      <c r="S32" s="47"/>
      <c r="T32" s="350">
        <f t="shared" si="1"/>
        <v>141375</v>
      </c>
    </row>
    <row r="33" spans="1:22" ht="13.5" customHeight="1">
      <c r="A33" s="19" t="s">
        <v>166</v>
      </c>
      <c r="C33" s="47">
        <v>11000</v>
      </c>
      <c r="D33" s="47">
        <v>2200</v>
      </c>
      <c r="E33" s="47"/>
      <c r="F33" s="47">
        <v>5500</v>
      </c>
      <c r="G33" s="47">
        <v>300</v>
      </c>
      <c r="H33" s="350">
        <f>1100+450</f>
        <v>1550</v>
      </c>
      <c r="I33" s="47">
        <v>50</v>
      </c>
      <c r="J33" s="47"/>
      <c r="K33" s="47">
        <f t="shared" si="0"/>
        <v>20600</v>
      </c>
      <c r="L33" s="47"/>
      <c r="M33" s="47"/>
      <c r="N33" s="47"/>
      <c r="O33" s="47"/>
      <c r="P33" s="47"/>
      <c r="Q33" s="47"/>
      <c r="R33" s="47"/>
      <c r="S33" s="47"/>
      <c r="T33" s="350">
        <f t="shared" si="1"/>
        <v>20600</v>
      </c>
      <c r="V33" s="176">
        <f>SUM(T23:T33)</f>
        <v>9935917</v>
      </c>
    </row>
    <row r="34" spans="1:21" ht="13.5" customHeight="1">
      <c r="A34" s="19" t="s">
        <v>589</v>
      </c>
      <c r="C34" s="47"/>
      <c r="D34" s="47"/>
      <c r="E34" s="47"/>
      <c r="F34" s="47"/>
      <c r="G34" s="47"/>
      <c r="H34" s="350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350">
        <v>605113</v>
      </c>
      <c r="U34" t="s">
        <v>629</v>
      </c>
    </row>
    <row r="35" spans="1:21" ht="13.5" customHeight="1">
      <c r="A35" s="19" t="s">
        <v>167</v>
      </c>
      <c r="C35" s="47">
        <f>134484+600+375</f>
        <v>135459</v>
      </c>
      <c r="D35" s="47">
        <v>2746</v>
      </c>
      <c r="E35" s="47"/>
      <c r="F35" s="47">
        <f>22375-2746+14300</f>
        <v>33929</v>
      </c>
      <c r="G35" s="47">
        <v>3725</v>
      </c>
      <c r="H35" s="47"/>
      <c r="I35" s="47">
        <v>2033</v>
      </c>
      <c r="J35" s="47"/>
      <c r="K35" s="47">
        <f t="shared" si="0"/>
        <v>177892</v>
      </c>
      <c r="L35" s="47">
        <v>29283</v>
      </c>
      <c r="M35" s="47">
        <v>1302</v>
      </c>
      <c r="N35" s="47">
        <v>554</v>
      </c>
      <c r="O35" s="47"/>
      <c r="P35" s="47"/>
      <c r="Q35" s="47"/>
      <c r="R35" s="47"/>
      <c r="S35" s="47"/>
      <c r="T35" s="350">
        <f t="shared" si="1"/>
        <v>209031</v>
      </c>
      <c r="U35">
        <v>14300</v>
      </c>
    </row>
    <row r="36" spans="1:21" ht="13.5" customHeight="1">
      <c r="A36" s="19" t="s">
        <v>132</v>
      </c>
      <c r="B36" t="s">
        <v>16</v>
      </c>
      <c r="C36" s="47">
        <f>182750</f>
        <v>182750</v>
      </c>
      <c r="D36" s="47"/>
      <c r="E36" s="47"/>
      <c r="F36" s="47">
        <f>10740+7500</f>
        <v>18240</v>
      </c>
      <c r="G36" s="47">
        <v>400</v>
      </c>
      <c r="H36" s="47"/>
      <c r="I36" s="47">
        <v>1649</v>
      </c>
      <c r="J36" s="47"/>
      <c r="K36" s="47">
        <f t="shared" si="0"/>
        <v>203039</v>
      </c>
      <c r="L36" s="47">
        <v>5404</v>
      </c>
      <c r="M36" s="47">
        <v>2600</v>
      </c>
      <c r="N36" s="47">
        <v>741</v>
      </c>
      <c r="O36" s="47"/>
      <c r="P36" s="47"/>
      <c r="Q36" s="47"/>
      <c r="R36" s="47"/>
      <c r="S36" s="47"/>
      <c r="T36" s="350">
        <f t="shared" si="1"/>
        <v>211784</v>
      </c>
      <c r="U36">
        <v>7500</v>
      </c>
    </row>
    <row r="37" spans="1:20" ht="13.5" customHeight="1">
      <c r="A37" s="19" t="s">
        <v>168</v>
      </c>
      <c r="C37" s="47">
        <f>124192+1655+1200+1150</f>
        <v>128197</v>
      </c>
      <c r="D37" s="47"/>
      <c r="E37" s="47">
        <v>875</v>
      </c>
      <c r="F37" s="47">
        <v>150</v>
      </c>
      <c r="G37" s="47">
        <f>2175-875</f>
        <v>1300</v>
      </c>
      <c r="H37" s="47"/>
      <c r="I37" s="47">
        <v>320</v>
      </c>
      <c r="J37" s="47"/>
      <c r="K37" s="47">
        <f t="shared" si="0"/>
        <v>130842</v>
      </c>
      <c r="L37" s="47">
        <v>14642</v>
      </c>
      <c r="M37" s="47">
        <v>703</v>
      </c>
      <c r="N37" s="47">
        <v>299</v>
      </c>
      <c r="O37" s="47"/>
      <c r="P37" s="47"/>
      <c r="Q37" s="47"/>
      <c r="R37" s="47"/>
      <c r="S37" s="47"/>
      <c r="T37" s="350">
        <f t="shared" si="1"/>
        <v>146486</v>
      </c>
    </row>
    <row r="38" spans="1:20" ht="13.5" customHeight="1">
      <c r="A38" s="19" t="s">
        <v>169</v>
      </c>
      <c r="C38" s="47">
        <f>125850+20175+1800+1725+650</f>
        <v>150200</v>
      </c>
      <c r="D38" s="47"/>
      <c r="E38" s="47"/>
      <c r="F38" s="47">
        <f>2165+32000</f>
        <v>34165</v>
      </c>
      <c r="G38" s="47">
        <v>500</v>
      </c>
      <c r="H38" s="47"/>
      <c r="I38" s="47">
        <v>1082</v>
      </c>
      <c r="J38" s="47"/>
      <c r="K38" s="47">
        <f t="shared" si="0"/>
        <v>185947</v>
      </c>
      <c r="L38" s="47">
        <v>50148</v>
      </c>
      <c r="M38" s="47">
        <v>1450</v>
      </c>
      <c r="N38" s="47">
        <v>622</v>
      </c>
      <c r="O38" s="47"/>
      <c r="P38" s="47"/>
      <c r="Q38" s="47"/>
      <c r="R38" s="47"/>
      <c r="S38" s="47"/>
      <c r="T38" s="350">
        <f t="shared" si="1"/>
        <v>238167</v>
      </c>
    </row>
    <row r="39" spans="1:20" ht="13.5" customHeight="1">
      <c r="A39" s="19" t="s">
        <v>170</v>
      </c>
      <c r="C39" s="47">
        <v>239794</v>
      </c>
      <c r="D39" s="47"/>
      <c r="E39" s="47"/>
      <c r="F39" s="47">
        <v>4280</v>
      </c>
      <c r="G39" s="47">
        <v>5105</v>
      </c>
      <c r="H39" s="47">
        <v>0</v>
      </c>
      <c r="I39" s="47">
        <v>6150</v>
      </c>
      <c r="J39" s="47"/>
      <c r="K39" s="47">
        <f t="shared" si="0"/>
        <v>255329</v>
      </c>
      <c r="L39" s="47">
        <v>43925</v>
      </c>
      <c r="M39" s="47">
        <v>2883</v>
      </c>
      <c r="N39" s="47">
        <f>1254+72</f>
        <v>1326</v>
      </c>
      <c r="O39" s="47"/>
      <c r="P39" s="47"/>
      <c r="Q39" s="47"/>
      <c r="R39" s="47"/>
      <c r="S39" s="47"/>
      <c r="T39" s="350">
        <f>SUM(K39:S39)</f>
        <v>303463</v>
      </c>
    </row>
    <row r="40" spans="1:21" ht="13.5" customHeight="1">
      <c r="A40" s="19" t="s">
        <v>171</v>
      </c>
      <c r="C40" s="47">
        <f>236363+49223+1000+1075</f>
        <v>287661</v>
      </c>
      <c r="D40" s="47"/>
      <c r="E40" s="47"/>
      <c r="F40" s="47">
        <f>11509+4295</f>
        <v>15804</v>
      </c>
      <c r="G40" s="47">
        <v>55190</v>
      </c>
      <c r="H40" s="47">
        <v>0</v>
      </c>
      <c r="I40" s="47"/>
      <c r="J40" s="47"/>
      <c r="K40" s="47">
        <f t="shared" si="0"/>
        <v>358655</v>
      </c>
      <c r="L40" s="47">
        <v>40091</v>
      </c>
      <c r="M40" s="47">
        <v>1850</v>
      </c>
      <c r="N40" s="47">
        <f>1772+72</f>
        <v>1844</v>
      </c>
      <c r="O40" s="47"/>
      <c r="P40" s="47"/>
      <c r="Q40" s="47"/>
      <c r="R40" s="47"/>
      <c r="S40" s="47"/>
      <c r="T40" s="350">
        <f t="shared" si="1"/>
        <v>402440</v>
      </c>
      <c r="U40">
        <v>4295</v>
      </c>
    </row>
    <row r="41" spans="1:20" ht="13.5" customHeight="1">
      <c r="A41" s="19" t="s">
        <v>587</v>
      </c>
      <c r="C41" s="47">
        <v>98220</v>
      </c>
      <c r="D41" s="47"/>
      <c r="E41" s="47"/>
      <c r="F41" s="47">
        <v>135681</v>
      </c>
      <c r="G41" s="47">
        <v>177500</v>
      </c>
      <c r="H41" s="47"/>
      <c r="I41" s="47"/>
      <c r="J41" s="47"/>
      <c r="K41" s="47">
        <f t="shared" si="0"/>
        <v>411401</v>
      </c>
      <c r="L41" s="47"/>
      <c r="M41" s="47"/>
      <c r="N41" s="47"/>
      <c r="O41" s="47"/>
      <c r="P41" s="47"/>
      <c r="Q41" s="47"/>
      <c r="R41" s="47"/>
      <c r="S41" s="47"/>
      <c r="T41" s="47">
        <f t="shared" si="1"/>
        <v>411401</v>
      </c>
    </row>
    <row r="42" spans="1:20" ht="13.5" customHeight="1">
      <c r="A42" s="19" t="s">
        <v>588</v>
      </c>
      <c r="C42" s="47">
        <v>297983</v>
      </c>
      <c r="D42" s="47">
        <v>0</v>
      </c>
      <c r="E42" s="47">
        <f>31750+40780</f>
        <v>72530</v>
      </c>
      <c r="F42" s="47">
        <v>9780</v>
      </c>
      <c r="G42" s="47">
        <f>157078-72530</f>
        <v>84548</v>
      </c>
      <c r="H42" s="47">
        <v>6025</v>
      </c>
      <c r="I42" s="47"/>
      <c r="J42" s="47"/>
      <c r="K42" s="47">
        <f t="shared" si="0"/>
        <v>470866</v>
      </c>
      <c r="L42" s="47">
        <v>58566</v>
      </c>
      <c r="M42" s="47">
        <v>2900</v>
      </c>
      <c r="N42" s="47">
        <f>11305+120</f>
        <v>11425</v>
      </c>
      <c r="O42" s="47"/>
      <c r="P42" s="47"/>
      <c r="Q42" s="47"/>
      <c r="R42" s="47"/>
      <c r="S42" s="47"/>
      <c r="T42" s="47">
        <f t="shared" si="1"/>
        <v>543757</v>
      </c>
    </row>
    <row r="43" spans="1:20" ht="13.5" customHeight="1">
      <c r="A43" s="19" t="s">
        <v>177</v>
      </c>
      <c r="C43" s="47">
        <v>31790</v>
      </c>
      <c r="D43" s="47"/>
      <c r="E43" s="47"/>
      <c r="F43" s="51">
        <v>162720</v>
      </c>
      <c r="G43" s="47">
        <v>12500</v>
      </c>
      <c r="H43" s="47"/>
      <c r="I43" s="47">
        <v>300</v>
      </c>
      <c r="J43" s="47"/>
      <c r="K43" s="47">
        <f t="shared" si="0"/>
        <v>207310</v>
      </c>
      <c r="L43" s="47">
        <v>5404</v>
      </c>
      <c r="M43" s="50">
        <v>350</v>
      </c>
      <c r="N43" s="50">
        <v>1332</v>
      </c>
      <c r="O43" s="47"/>
      <c r="P43" s="47"/>
      <c r="Q43" s="47"/>
      <c r="R43" s="47"/>
      <c r="S43" s="47"/>
      <c r="T43" s="47">
        <f t="shared" si="1"/>
        <v>214396</v>
      </c>
    </row>
    <row r="44" spans="1:20" ht="13.5" customHeight="1">
      <c r="A44" s="19" t="s">
        <v>178</v>
      </c>
      <c r="C44" s="47">
        <v>35735</v>
      </c>
      <c r="D44" s="47">
        <v>2310</v>
      </c>
      <c r="E44" s="47"/>
      <c r="F44" s="47"/>
      <c r="G44" s="47">
        <f>8510-2310</f>
        <v>6200</v>
      </c>
      <c r="H44" s="47"/>
      <c r="I44" s="47"/>
      <c r="J44" s="47"/>
      <c r="K44" s="47">
        <f t="shared" si="0"/>
        <v>44245</v>
      </c>
      <c r="L44" s="47">
        <v>0</v>
      </c>
      <c r="M44" s="50">
        <v>660</v>
      </c>
      <c r="N44" s="50">
        <f>1428+24</f>
        <v>1452</v>
      </c>
      <c r="O44" s="47"/>
      <c r="P44" s="47"/>
      <c r="Q44" s="47"/>
      <c r="R44" s="47"/>
      <c r="S44" s="47"/>
      <c r="T44" s="47">
        <f t="shared" si="1"/>
        <v>46357</v>
      </c>
    </row>
    <row r="45" spans="1:20" ht="13.5" customHeight="1">
      <c r="A45" s="19" t="s">
        <v>179</v>
      </c>
      <c r="C45" s="51">
        <v>73487</v>
      </c>
      <c r="D45" s="47"/>
      <c r="E45" s="47"/>
      <c r="F45" s="47"/>
      <c r="G45" s="47">
        <v>17730</v>
      </c>
      <c r="H45" s="47"/>
      <c r="I45" s="47"/>
      <c r="J45" s="47"/>
      <c r="K45" s="47">
        <f t="shared" si="0"/>
        <v>91217</v>
      </c>
      <c r="L45" s="47">
        <v>34687</v>
      </c>
      <c r="M45" s="47">
        <v>660</v>
      </c>
      <c r="N45" s="50">
        <f>2890+72</f>
        <v>2962</v>
      </c>
      <c r="O45" s="47"/>
      <c r="P45" s="47"/>
      <c r="Q45" s="47">
        <v>2270760</v>
      </c>
      <c r="R45" s="47"/>
      <c r="S45" s="47"/>
      <c r="T45" s="47">
        <f t="shared" si="1"/>
        <v>2400286</v>
      </c>
    </row>
    <row r="46" spans="1:20" ht="13.5" customHeight="1">
      <c r="A46" s="19" t="s">
        <v>183</v>
      </c>
      <c r="C46" s="47"/>
      <c r="D46" s="47">
        <v>190000</v>
      </c>
      <c r="E46" s="47"/>
      <c r="F46" s="47" t="s">
        <v>16</v>
      </c>
      <c r="G46" s="47"/>
      <c r="H46" s="47"/>
      <c r="I46" s="47"/>
      <c r="J46" s="47"/>
      <c r="K46" s="47">
        <f t="shared" si="0"/>
        <v>190000</v>
      </c>
      <c r="L46" s="47"/>
      <c r="M46" s="47"/>
      <c r="N46" s="47"/>
      <c r="O46" s="47"/>
      <c r="P46" s="47"/>
      <c r="Q46" s="47"/>
      <c r="R46" s="47"/>
      <c r="S46" s="47"/>
      <c r="T46" s="47">
        <f t="shared" si="1"/>
        <v>190000</v>
      </c>
    </row>
    <row r="47" spans="1:20" ht="13.5" customHeight="1">
      <c r="A47" s="19" t="s">
        <v>184</v>
      </c>
      <c r="C47" s="47">
        <f>151200+44507+5500+500+1725</f>
        <v>203432</v>
      </c>
      <c r="D47" s="47">
        <f>138000+24600+21400+3500</f>
        <v>187500</v>
      </c>
      <c r="E47" s="47">
        <v>114600</v>
      </c>
      <c r="F47" s="47">
        <f>393581-187500</f>
        <v>206081</v>
      </c>
      <c r="G47" s="47">
        <f>142275-114600</f>
        <v>27675</v>
      </c>
      <c r="H47" s="47">
        <v>143463.64</v>
      </c>
      <c r="I47" s="47">
        <v>0</v>
      </c>
      <c r="J47" s="47"/>
      <c r="K47" s="47">
        <f t="shared" si="0"/>
        <v>882751.64</v>
      </c>
      <c r="L47" s="47">
        <v>20046</v>
      </c>
      <c r="M47" s="47">
        <v>2324</v>
      </c>
      <c r="N47" s="47">
        <v>1521</v>
      </c>
      <c r="O47" s="47"/>
      <c r="P47" s="47"/>
      <c r="Q47" s="47"/>
      <c r="R47" s="47"/>
      <c r="S47" s="47"/>
      <c r="T47" s="47">
        <f t="shared" si="1"/>
        <v>906642.64</v>
      </c>
    </row>
    <row r="48" spans="1:20" ht="13.5" customHeight="1">
      <c r="A48" s="19" t="s">
        <v>380</v>
      </c>
      <c r="C48" s="47">
        <v>286994</v>
      </c>
      <c r="D48" s="47">
        <f>2040+1440+17000+40685</f>
        <v>61165</v>
      </c>
      <c r="E48" s="47">
        <f>3340+4800+4800</f>
        <v>12940</v>
      </c>
      <c r="F48" s="47">
        <f>95809-61165</f>
        <v>34644</v>
      </c>
      <c r="G48" s="47">
        <f>85187-12940</f>
        <v>72247</v>
      </c>
      <c r="H48" s="47">
        <v>11000</v>
      </c>
      <c r="I48" s="47"/>
      <c r="J48" s="47"/>
      <c r="K48" s="47">
        <f t="shared" si="0"/>
        <v>478990</v>
      </c>
      <c r="L48" s="47">
        <v>45495</v>
      </c>
      <c r="M48" s="47">
        <v>2100</v>
      </c>
      <c r="N48" s="47">
        <v>1900</v>
      </c>
      <c r="O48" s="47"/>
      <c r="P48" s="47"/>
      <c r="Q48" s="47"/>
      <c r="R48" s="47"/>
      <c r="S48" s="47"/>
      <c r="T48" s="47">
        <f t="shared" si="1"/>
        <v>528485</v>
      </c>
    </row>
    <row r="49" spans="1:22" ht="13.5" customHeight="1">
      <c r="A49" s="19" t="s">
        <v>130</v>
      </c>
      <c r="C49" s="47">
        <v>285738</v>
      </c>
      <c r="D49" s="47">
        <f>1890+1687+6020+3892</f>
        <v>13489</v>
      </c>
      <c r="E49" s="51">
        <f>4618+3835</f>
        <v>8453</v>
      </c>
      <c r="F49" s="47">
        <f>17989-13489</f>
        <v>4500</v>
      </c>
      <c r="G49" s="47">
        <f>35500-8453</f>
        <v>27047</v>
      </c>
      <c r="H49" s="47">
        <v>0</v>
      </c>
      <c r="I49" s="47">
        <v>80</v>
      </c>
      <c r="J49" s="47"/>
      <c r="K49" s="47">
        <f t="shared" si="0"/>
        <v>339307</v>
      </c>
      <c r="L49" s="47">
        <v>63970</v>
      </c>
      <c r="M49" s="47">
        <v>2144</v>
      </c>
      <c r="N49" s="47">
        <f>4874+85</f>
        <v>4959</v>
      </c>
      <c r="O49" s="47"/>
      <c r="P49" s="47"/>
      <c r="Q49" s="47"/>
      <c r="R49" s="47"/>
      <c r="S49" s="47"/>
      <c r="T49" s="47">
        <f t="shared" si="1"/>
        <v>410380</v>
      </c>
      <c r="V49" s="176">
        <f>SUM(T35:T49)</f>
        <v>7163075.64</v>
      </c>
    </row>
    <row r="50" spans="1:20" ht="13.5" customHeight="1">
      <c r="A50" s="19" t="s">
        <v>129</v>
      </c>
      <c r="C50" s="47">
        <f>175542+44090+1080+275+600</f>
        <v>221587</v>
      </c>
      <c r="D50" s="47"/>
      <c r="E50" s="47"/>
      <c r="F50" s="47">
        <v>7405</v>
      </c>
      <c r="G50" s="47">
        <v>3210</v>
      </c>
      <c r="H50" s="47"/>
      <c r="I50" s="47">
        <v>1857</v>
      </c>
      <c r="J50" s="47"/>
      <c r="K50" s="47">
        <f t="shared" si="0"/>
        <v>234059</v>
      </c>
      <c r="L50" s="47">
        <v>49329</v>
      </c>
      <c r="M50" s="47">
        <v>2800</v>
      </c>
      <c r="N50" s="47">
        <v>298</v>
      </c>
      <c r="O50" s="47"/>
      <c r="P50" s="47"/>
      <c r="Q50" s="47"/>
      <c r="R50" s="47"/>
      <c r="S50" s="47"/>
      <c r="T50" s="47">
        <f t="shared" si="1"/>
        <v>286486</v>
      </c>
    </row>
    <row r="51" spans="1:20" ht="13.5" customHeight="1">
      <c r="A51" s="19" t="s">
        <v>186</v>
      </c>
      <c r="C51" s="51">
        <f>46626+500</f>
        <v>47126</v>
      </c>
      <c r="D51" s="47"/>
      <c r="E51" s="47">
        <v>1304</v>
      </c>
      <c r="F51" s="47">
        <v>15180</v>
      </c>
      <c r="G51" s="47">
        <f>2054-1304</f>
        <v>750</v>
      </c>
      <c r="H51" s="47"/>
      <c r="I51" s="47">
        <v>320</v>
      </c>
      <c r="J51" s="47"/>
      <c r="K51" s="47">
        <f t="shared" si="0"/>
        <v>64680</v>
      </c>
      <c r="L51" s="47">
        <v>0</v>
      </c>
      <c r="M51" s="47">
        <v>471</v>
      </c>
      <c r="N51" s="47">
        <v>686</v>
      </c>
      <c r="O51" s="47"/>
      <c r="P51" s="47"/>
      <c r="Q51" s="47"/>
      <c r="R51" s="47"/>
      <c r="S51" s="47"/>
      <c r="T51" s="47">
        <f t="shared" si="1"/>
        <v>65837</v>
      </c>
    </row>
    <row r="52" spans="1:20" ht="13.5" customHeight="1">
      <c r="A52" s="19" t="s">
        <v>307</v>
      </c>
      <c r="C52" s="47">
        <v>5000</v>
      </c>
      <c r="D52" s="47"/>
      <c r="E52" s="47"/>
      <c r="F52" s="47"/>
      <c r="G52" s="47">
        <v>430</v>
      </c>
      <c r="H52" s="47"/>
      <c r="I52" s="47"/>
      <c r="J52" s="47"/>
      <c r="K52" s="47">
        <f t="shared" si="0"/>
        <v>5430</v>
      </c>
      <c r="L52" s="47"/>
      <c r="M52" s="47"/>
      <c r="N52" s="47"/>
      <c r="O52" s="47"/>
      <c r="P52" s="47"/>
      <c r="Q52" s="47"/>
      <c r="R52" s="47"/>
      <c r="S52" s="47"/>
      <c r="T52" s="47">
        <f t="shared" si="1"/>
        <v>5430</v>
      </c>
    </row>
    <row r="53" spans="1:20" ht="13.5" customHeight="1">
      <c r="A53" s="19" t="s">
        <v>188</v>
      </c>
      <c r="C53" s="47">
        <v>295740</v>
      </c>
      <c r="D53" s="47"/>
      <c r="E53" s="47"/>
      <c r="F53" s="47">
        <v>63250</v>
      </c>
      <c r="G53" s="47">
        <v>8000</v>
      </c>
      <c r="H53" s="47"/>
      <c r="I53" s="47">
        <v>850</v>
      </c>
      <c r="J53" s="47"/>
      <c r="K53" s="47">
        <f t="shared" si="0"/>
        <v>367840</v>
      </c>
      <c r="L53" s="47">
        <v>62404</v>
      </c>
      <c r="M53" s="47">
        <v>3677</v>
      </c>
      <c r="N53" s="47">
        <v>1094</v>
      </c>
      <c r="O53" s="47"/>
      <c r="P53" s="47"/>
      <c r="Q53" s="47"/>
      <c r="R53" s="47"/>
      <c r="S53" s="47"/>
      <c r="T53" s="47">
        <f t="shared" si="1"/>
        <v>435015</v>
      </c>
    </row>
    <row r="54" spans="1:20" ht="13.5" customHeight="1">
      <c r="A54" s="19" t="s">
        <v>189</v>
      </c>
      <c r="C54" s="47">
        <v>12000</v>
      </c>
      <c r="D54" s="47"/>
      <c r="E54" s="47"/>
      <c r="F54" s="47"/>
      <c r="G54" s="47">
        <v>175</v>
      </c>
      <c r="H54" s="47"/>
      <c r="I54" s="47">
        <v>12030</v>
      </c>
      <c r="J54" s="47"/>
      <c r="K54" s="47">
        <f t="shared" si="0"/>
        <v>24205</v>
      </c>
      <c r="L54" s="47"/>
      <c r="M54" s="47"/>
      <c r="N54" s="47"/>
      <c r="O54" s="47"/>
      <c r="P54" s="47"/>
      <c r="Q54" s="47"/>
      <c r="R54" s="47"/>
      <c r="S54" s="47"/>
      <c r="T54" s="47">
        <f t="shared" si="1"/>
        <v>24205</v>
      </c>
    </row>
    <row r="55" spans="1:22" ht="13.5" customHeight="1">
      <c r="A55" s="19" t="s">
        <v>190</v>
      </c>
      <c r="C55" s="47">
        <v>21950</v>
      </c>
      <c r="D55" s="47"/>
      <c r="E55" s="47"/>
      <c r="F55" s="47">
        <v>21643</v>
      </c>
      <c r="G55" s="47">
        <v>800</v>
      </c>
      <c r="H55" s="47"/>
      <c r="I55" s="47"/>
      <c r="J55" s="47"/>
      <c r="K55" s="47">
        <f t="shared" si="0"/>
        <v>44393</v>
      </c>
      <c r="L55" s="47">
        <v>0</v>
      </c>
      <c r="M55" s="47">
        <v>187</v>
      </c>
      <c r="N55" s="47" t="s">
        <v>16</v>
      </c>
      <c r="O55" s="47"/>
      <c r="P55" s="47"/>
      <c r="Q55" s="47"/>
      <c r="R55" s="47"/>
      <c r="S55" s="47"/>
      <c r="T55" s="47">
        <f t="shared" si="1"/>
        <v>44580</v>
      </c>
      <c r="V55" s="176">
        <f>SUM(T50:T55)</f>
        <v>861553</v>
      </c>
    </row>
    <row r="56" spans="1:20" ht="13.5" customHeight="1">
      <c r="A56" s="19" t="s">
        <v>191</v>
      </c>
      <c r="C56" s="47">
        <f>166250+6668+3000+275</f>
        <v>176193</v>
      </c>
      <c r="D56" s="47">
        <f>31518+17907+6145</f>
        <v>55570</v>
      </c>
      <c r="E56" s="47">
        <v>600</v>
      </c>
      <c r="F56" s="51">
        <f>131770-55570</f>
        <v>76200</v>
      </c>
      <c r="G56" s="47">
        <v>9300</v>
      </c>
      <c r="H56" s="47"/>
      <c r="I56" s="47">
        <v>850</v>
      </c>
      <c r="J56" s="47"/>
      <c r="K56" s="47">
        <f t="shared" si="0"/>
        <v>318713</v>
      </c>
      <c r="L56" s="47">
        <v>28536</v>
      </c>
      <c r="M56" s="47">
        <v>1600</v>
      </c>
      <c r="N56" s="51">
        <v>309</v>
      </c>
      <c r="O56" s="47"/>
      <c r="P56" s="47"/>
      <c r="Q56" s="47"/>
      <c r="R56" s="47"/>
      <c r="S56" s="47"/>
      <c r="T56" s="47">
        <f t="shared" si="1"/>
        <v>349158</v>
      </c>
    </row>
    <row r="57" spans="1:20" ht="13.5" customHeight="1">
      <c r="A57" s="19" t="s">
        <v>192</v>
      </c>
      <c r="C57" s="47">
        <f>483741+178512+2000+4604</f>
        <v>668857</v>
      </c>
      <c r="D57" s="47">
        <v>7600</v>
      </c>
      <c r="E57" s="47"/>
      <c r="F57" s="47">
        <v>1500</v>
      </c>
      <c r="G57" s="47">
        <v>238568</v>
      </c>
      <c r="H57" s="47"/>
      <c r="I57" s="47">
        <v>355</v>
      </c>
      <c r="J57" s="47"/>
      <c r="K57" s="47">
        <f t="shared" si="0"/>
        <v>916880</v>
      </c>
      <c r="L57" s="47">
        <v>76349</v>
      </c>
      <c r="M57" s="47">
        <v>4970</v>
      </c>
      <c r="N57" s="47">
        <f>199+1096</f>
        <v>1295</v>
      </c>
      <c r="O57" s="47"/>
      <c r="P57" s="47"/>
      <c r="Q57" s="47"/>
      <c r="R57" s="47"/>
      <c r="S57" s="47"/>
      <c r="T57" s="47">
        <f>SUM(K57:S57)</f>
        <v>999494</v>
      </c>
    </row>
    <row r="58" spans="1:20" ht="13.5" customHeight="1">
      <c r="A58" s="19" t="s">
        <v>193</v>
      </c>
      <c r="C58" s="47">
        <f>117682+20891+1150</f>
        <v>139723</v>
      </c>
      <c r="D58" s="47"/>
      <c r="E58" s="47"/>
      <c r="F58" s="47">
        <v>54000</v>
      </c>
      <c r="G58" s="47">
        <v>11000</v>
      </c>
      <c r="H58" s="47"/>
      <c r="I58" s="47">
        <v>70</v>
      </c>
      <c r="J58" s="47"/>
      <c r="K58" s="47">
        <f t="shared" si="0"/>
        <v>204793</v>
      </c>
      <c r="L58" s="47">
        <v>35507</v>
      </c>
      <c r="M58" s="47">
        <v>1200</v>
      </c>
      <c r="N58" s="47">
        <v>300</v>
      </c>
      <c r="O58" s="47"/>
      <c r="P58" s="47"/>
      <c r="Q58" s="47"/>
      <c r="R58" s="47"/>
      <c r="S58" s="47"/>
      <c r="T58" s="47">
        <f t="shared" si="1"/>
        <v>241800</v>
      </c>
    </row>
    <row r="59" spans="1:20" ht="13.5" customHeight="1">
      <c r="A59" s="19" t="s">
        <v>194</v>
      </c>
      <c r="C59" s="51">
        <f>111874+700</f>
        <v>112574</v>
      </c>
      <c r="D59" s="47"/>
      <c r="E59" s="47"/>
      <c r="F59" s="47">
        <v>9500</v>
      </c>
      <c r="G59" s="47">
        <v>2300</v>
      </c>
      <c r="H59" s="47"/>
      <c r="I59" s="47">
        <v>0</v>
      </c>
      <c r="J59" s="47"/>
      <c r="K59" s="47">
        <f t="shared" si="0"/>
        <v>124374</v>
      </c>
      <c r="L59" s="47">
        <v>18854</v>
      </c>
      <c r="M59" s="47">
        <v>0</v>
      </c>
      <c r="N59" s="47">
        <v>442</v>
      </c>
      <c r="O59" s="47"/>
      <c r="P59" s="47"/>
      <c r="Q59" s="47"/>
      <c r="R59" s="47"/>
      <c r="S59" s="47"/>
      <c r="T59" s="47">
        <f t="shared" si="1"/>
        <v>143670</v>
      </c>
    </row>
    <row r="60" spans="1:22" ht="13.5" customHeight="1">
      <c r="A60" s="19" t="s">
        <v>195</v>
      </c>
      <c r="C60" s="47">
        <f>36985+29975+2521+98596+77490+24184+91506</f>
        <v>361257</v>
      </c>
      <c r="D60" s="47">
        <v>1600</v>
      </c>
      <c r="E60" s="47"/>
      <c r="F60" s="47">
        <f>49520-1600</f>
        <v>47920</v>
      </c>
      <c r="G60" s="47">
        <v>21120</v>
      </c>
      <c r="H60" s="47"/>
      <c r="I60" s="47">
        <v>0</v>
      </c>
      <c r="J60" s="47"/>
      <c r="K60" s="47">
        <f t="shared" si="0"/>
        <v>431897</v>
      </c>
      <c r="L60" s="47">
        <v>12000</v>
      </c>
      <c r="M60" s="47">
        <v>3797</v>
      </c>
      <c r="N60" s="47">
        <v>5702</v>
      </c>
      <c r="O60" s="47"/>
      <c r="P60" s="47"/>
      <c r="Q60" s="47"/>
      <c r="R60" s="47"/>
      <c r="S60" s="47"/>
      <c r="T60" s="47">
        <f t="shared" si="1"/>
        <v>453396</v>
      </c>
      <c r="V60" s="176">
        <f>SUM(T56:T60)</f>
        <v>2187518</v>
      </c>
    </row>
    <row r="61" spans="1:24" ht="13.5" customHeight="1">
      <c r="A61" s="19" t="s">
        <v>613</v>
      </c>
      <c r="C61" s="47"/>
      <c r="D61" s="47"/>
      <c r="E61" s="47"/>
      <c r="F61" s="47"/>
      <c r="G61" s="47"/>
      <c r="H61" s="47"/>
      <c r="I61" s="47"/>
      <c r="J61" s="47"/>
      <c r="K61" s="47">
        <f t="shared" si="0"/>
        <v>0</v>
      </c>
      <c r="L61" s="47"/>
      <c r="M61" s="47"/>
      <c r="N61" s="47"/>
      <c r="O61" s="47"/>
      <c r="P61" s="47"/>
      <c r="Q61" s="47"/>
      <c r="R61" s="47">
        <f>5123181-307550</f>
        <v>4815631</v>
      </c>
      <c r="S61" s="47"/>
      <c r="T61" s="47">
        <f t="shared" si="1"/>
        <v>4815631</v>
      </c>
      <c r="U61" t="s">
        <v>16</v>
      </c>
      <c r="V61">
        <f>SUM(T5:T61)</f>
        <v>34432721.64</v>
      </c>
      <c r="W61">
        <f>SUM(U5:U60)</f>
        <v>67295</v>
      </c>
      <c r="X61">
        <f>SUM(W61+U66)</f>
        <v>134590</v>
      </c>
    </row>
    <row r="62" spans="1:20" ht="13.5" customHeight="1">
      <c r="A62" s="19" t="s">
        <v>198</v>
      </c>
      <c r="C62" s="47"/>
      <c r="D62" s="47"/>
      <c r="E62" s="47"/>
      <c r="F62" s="47"/>
      <c r="G62" s="47"/>
      <c r="H62" s="47">
        <v>0</v>
      </c>
      <c r="I62" s="47">
        <v>0</v>
      </c>
      <c r="J62" s="47"/>
      <c r="K62" s="47">
        <f t="shared" si="0"/>
        <v>0</v>
      </c>
      <c r="L62" s="47"/>
      <c r="M62" s="47"/>
      <c r="N62" s="47" t="s">
        <v>16</v>
      </c>
      <c r="O62" s="47"/>
      <c r="P62" s="47"/>
      <c r="Q62" s="47"/>
      <c r="R62" s="47"/>
      <c r="S62" s="47"/>
      <c r="T62" s="47">
        <v>2185600</v>
      </c>
    </row>
    <row r="63" spans="3:20" ht="13.5" customHeight="1">
      <c r="C63" s="47"/>
      <c r="D63" s="47"/>
      <c r="E63" s="47"/>
      <c r="F63" s="47"/>
      <c r="G63" s="47"/>
      <c r="H63" s="47"/>
      <c r="I63" s="47"/>
      <c r="J63" s="47"/>
      <c r="K63" s="47">
        <f t="shared" si="0"/>
        <v>0</v>
      </c>
      <c r="L63" s="47"/>
      <c r="M63" s="47"/>
      <c r="N63" s="47"/>
      <c r="O63" s="47"/>
      <c r="P63" s="47"/>
      <c r="Q63" s="47"/>
      <c r="R63" s="47"/>
      <c r="S63" s="47"/>
      <c r="T63" s="47">
        <f t="shared" si="1"/>
        <v>0</v>
      </c>
    </row>
    <row r="64" spans="3:21" ht="13.5" customHeight="1">
      <c r="C64" s="47">
        <f aca="true" t="shared" si="2" ref="C64:H64">SUM(C6:C62)</f>
        <v>14039693</v>
      </c>
      <c r="D64" s="47">
        <f t="shared" si="2"/>
        <v>566380</v>
      </c>
      <c r="E64" s="47">
        <f t="shared" si="2"/>
        <v>293309</v>
      </c>
      <c r="F64" s="47">
        <f t="shared" si="2"/>
        <v>1867751</v>
      </c>
      <c r="G64" s="47">
        <f t="shared" si="2"/>
        <v>966957</v>
      </c>
      <c r="H64" s="47">
        <f t="shared" si="2"/>
        <v>410638.64</v>
      </c>
      <c r="I64" s="47">
        <f>SUM(I6:I62)</f>
        <v>408288</v>
      </c>
      <c r="J64" s="51" t="s">
        <v>16</v>
      </c>
      <c r="K64" s="47">
        <f t="shared" si="0"/>
        <v>18553016.64</v>
      </c>
      <c r="L64" s="47">
        <f aca="true" t="shared" si="3" ref="L64:R64">SUM(L6:L62)</f>
        <v>4012567</v>
      </c>
      <c r="M64" s="47">
        <f t="shared" si="3"/>
        <v>154543</v>
      </c>
      <c r="N64" s="47">
        <f>SUM(N6:N62)</f>
        <v>103775</v>
      </c>
      <c r="O64" s="47">
        <f t="shared" si="3"/>
        <v>3517316</v>
      </c>
      <c r="P64" s="47">
        <f t="shared" si="3"/>
        <v>400000</v>
      </c>
      <c r="Q64" s="47">
        <f t="shared" si="3"/>
        <v>2270760</v>
      </c>
      <c r="R64" s="47">
        <f t="shared" si="3"/>
        <v>4815631</v>
      </c>
      <c r="S64" s="47" t="s">
        <v>16</v>
      </c>
      <c r="T64" s="47">
        <f>SUM(T6:T63)</f>
        <v>36618321.64</v>
      </c>
      <c r="U64" s="176" t="s">
        <v>16</v>
      </c>
    </row>
    <row r="65" spans="3:20" ht="13.5" customHeight="1">
      <c r="C65" s="47"/>
      <c r="D65" s="47"/>
      <c r="E65" s="47"/>
      <c r="F65" s="47"/>
      <c r="G65" s="47"/>
      <c r="H65" s="47"/>
      <c r="I65" s="51" t="s">
        <v>295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 t="s">
        <v>16</v>
      </c>
    </row>
    <row r="66" spans="1:21" ht="13.5" customHeight="1">
      <c r="A66" t="s">
        <v>590</v>
      </c>
      <c r="C66" s="51" t="s">
        <v>16</v>
      </c>
      <c r="D66" s="51" t="s">
        <v>16</v>
      </c>
      <c r="E66" s="47"/>
      <c r="F66" s="51" t="s">
        <v>16</v>
      </c>
      <c r="G66" s="51" t="s">
        <v>16</v>
      </c>
      <c r="H66" s="386" t="s">
        <v>16</v>
      </c>
      <c r="I66" s="350">
        <v>0</v>
      </c>
      <c r="J66" s="350"/>
      <c r="K66" s="350">
        <f t="shared" si="0"/>
        <v>0</v>
      </c>
      <c r="L66" s="386" t="s">
        <v>16</v>
      </c>
      <c r="M66" s="386" t="s">
        <v>16</v>
      </c>
      <c r="N66" s="386" t="s">
        <v>16</v>
      </c>
      <c r="O66" s="350"/>
      <c r="P66" s="350"/>
      <c r="Q66" s="350"/>
      <c r="R66" s="47"/>
      <c r="S66" s="47"/>
      <c r="T66" s="51">
        <f>35184612-605113+67295</f>
        <v>34646794</v>
      </c>
      <c r="U66">
        <v>67295</v>
      </c>
    </row>
    <row r="67" spans="3:20" ht="13.5" customHeight="1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51"/>
      <c r="S67" s="47"/>
      <c r="T67" s="47"/>
    </row>
    <row r="68" spans="1:20" ht="13.5" customHeight="1">
      <c r="A68" t="s">
        <v>16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1"/>
      <c r="S68" s="47"/>
      <c r="T68" s="47">
        <f>SUM(T64:T66)</f>
        <v>71265115.64</v>
      </c>
    </row>
    <row r="69" ht="13.5" customHeight="1">
      <c r="R69" t="s">
        <v>16</v>
      </c>
    </row>
    <row r="70" ht="13.5" customHeight="1">
      <c r="R70" s="51" t="s">
        <v>16</v>
      </c>
    </row>
  </sheetData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25" sqref="G25"/>
    </sheetView>
  </sheetViews>
  <sheetFormatPr defaultColWidth="9.140625" defaultRowHeight="13.5" customHeight="1"/>
  <cols>
    <col min="1" max="16384" width="9.140625" style="23" customWidth="1"/>
  </cols>
  <sheetData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6"/>
  <sheetViews>
    <sheetView view="pageBreakPreview" zoomScale="60" workbookViewId="0" topLeftCell="A1">
      <pane xSplit="2" ySplit="5" topLeftCell="F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8" sqref="H68"/>
    </sheetView>
  </sheetViews>
  <sheetFormatPr defaultColWidth="9.140625" defaultRowHeight="13.5" customHeight="1"/>
  <cols>
    <col min="1" max="1" width="16.00390625" style="0" customWidth="1"/>
    <col min="2" max="2" width="11.140625" style="0" customWidth="1"/>
    <col min="3" max="3" width="13.57421875" style="0" customWidth="1"/>
    <col min="4" max="5" width="12.28125" style="0" customWidth="1"/>
    <col min="6" max="6" width="14.421875" style="0" customWidth="1"/>
    <col min="7" max="7" width="13.421875" style="0" customWidth="1"/>
    <col min="8" max="9" width="11.28125" style="0" customWidth="1"/>
    <col min="10" max="10" width="3.140625" style="0" customWidth="1"/>
    <col min="11" max="11" width="13.421875" style="0" customWidth="1"/>
    <col min="12" max="12" width="12.28125" style="0" customWidth="1"/>
    <col min="13" max="13" width="12.8515625" style="0" customWidth="1"/>
    <col min="14" max="14" width="13.140625" style="0" customWidth="1"/>
    <col min="15" max="15" width="12.57421875" style="0" customWidth="1"/>
    <col min="16" max="16" width="12.00390625" style="0" customWidth="1"/>
    <col min="17" max="17" width="12.57421875" style="0" customWidth="1"/>
    <col min="18" max="18" width="12.8515625" style="0" customWidth="1"/>
    <col min="19" max="19" width="4.00390625" style="0" customWidth="1"/>
    <col min="20" max="20" width="15.00390625" style="0" customWidth="1"/>
  </cols>
  <sheetData>
    <row r="2" spans="1:12" ht="13.5" customHeight="1">
      <c r="A2" t="s">
        <v>6</v>
      </c>
      <c r="L2" t="s">
        <v>295</v>
      </c>
    </row>
    <row r="3" spans="5:20" s="43" customFormat="1" ht="13.5" customHeight="1">
      <c r="E3" s="43" t="s">
        <v>500</v>
      </c>
      <c r="F3" s="43" t="s">
        <v>134</v>
      </c>
      <c r="K3" s="43" t="s">
        <v>204</v>
      </c>
      <c r="L3" s="43" t="s">
        <v>16</v>
      </c>
      <c r="N3" s="43" t="s">
        <v>200</v>
      </c>
      <c r="P3" s="43" t="s">
        <v>202</v>
      </c>
      <c r="Q3" s="43" t="s">
        <v>181</v>
      </c>
      <c r="T3" s="43" t="s">
        <v>139</v>
      </c>
    </row>
    <row r="4" spans="3:20" s="43" customFormat="1" ht="13.5" customHeight="1">
      <c r="C4" s="44" t="s">
        <v>141</v>
      </c>
      <c r="D4" s="44" t="s">
        <v>133</v>
      </c>
      <c r="E4" s="44" t="s">
        <v>136</v>
      </c>
      <c r="F4" s="44" t="s">
        <v>135</v>
      </c>
      <c r="G4" s="44" t="s">
        <v>136</v>
      </c>
      <c r="H4" s="44" t="s">
        <v>137</v>
      </c>
      <c r="I4" s="44" t="s">
        <v>138</v>
      </c>
      <c r="K4" s="44" t="s">
        <v>139</v>
      </c>
      <c r="L4" s="44" t="s">
        <v>129</v>
      </c>
      <c r="M4" s="44" t="s">
        <v>140</v>
      </c>
      <c r="N4" s="44" t="s">
        <v>201</v>
      </c>
      <c r="O4" s="44" t="s">
        <v>154</v>
      </c>
      <c r="P4" s="44" t="s">
        <v>203</v>
      </c>
      <c r="Q4" s="44" t="s">
        <v>182</v>
      </c>
      <c r="R4" s="44" t="s">
        <v>197</v>
      </c>
      <c r="T4" s="43" t="s">
        <v>417</v>
      </c>
    </row>
    <row r="5" spans="1:11" ht="13.5" customHeight="1">
      <c r="A5" s="19" t="s">
        <v>16</v>
      </c>
      <c r="K5" t="s">
        <v>16</v>
      </c>
    </row>
    <row r="6" spans="1:20" ht="13.5" customHeight="1">
      <c r="A6" s="19" t="s">
        <v>142</v>
      </c>
      <c r="C6" s="47">
        <v>200</v>
      </c>
      <c r="D6" s="47"/>
      <c r="E6" s="47"/>
      <c r="F6" s="47">
        <v>11000</v>
      </c>
      <c r="G6" s="47"/>
      <c r="H6" s="47"/>
      <c r="I6" s="47"/>
      <c r="J6" s="47"/>
      <c r="K6" s="47">
        <f aca="true" t="shared" si="0" ref="K6:K69">SUM(C6:I6)</f>
        <v>11200</v>
      </c>
      <c r="L6" s="47"/>
      <c r="M6" s="47"/>
      <c r="N6" s="47"/>
      <c r="O6" s="47"/>
      <c r="P6" s="47"/>
      <c r="Q6" s="47"/>
      <c r="R6" s="47"/>
      <c r="S6" s="47"/>
      <c r="T6" s="47">
        <f>SUM(K6:S6)</f>
        <v>11200</v>
      </c>
    </row>
    <row r="7" spans="1:20" ht="13.5" customHeight="1">
      <c r="A7" s="19" t="s">
        <v>143</v>
      </c>
      <c r="C7" s="47">
        <f>57790+4500+700</f>
        <v>62990</v>
      </c>
      <c r="D7" s="47"/>
      <c r="E7" s="47"/>
      <c r="F7" s="47">
        <v>34600</v>
      </c>
      <c r="G7" s="47">
        <v>925</v>
      </c>
      <c r="H7" s="47"/>
      <c r="I7" s="47">
        <v>823</v>
      </c>
      <c r="J7" s="47"/>
      <c r="K7" s="47">
        <f t="shared" si="0"/>
        <v>99338</v>
      </c>
      <c r="L7" s="47">
        <v>13556</v>
      </c>
      <c r="M7" s="47"/>
      <c r="N7" s="47">
        <v>323</v>
      </c>
      <c r="O7" s="47"/>
      <c r="P7" s="47"/>
      <c r="Q7" s="47"/>
      <c r="R7" s="47"/>
      <c r="S7" s="47"/>
      <c r="T7" s="47">
        <f aca="true" t="shared" si="1" ref="T7:T69">SUM(K7:S7)</f>
        <v>113217</v>
      </c>
    </row>
    <row r="8" spans="1:20" ht="13.5" customHeight="1">
      <c r="A8" s="19" t="s">
        <v>144</v>
      </c>
      <c r="C8" s="47">
        <f>72435+30513+13250</f>
        <v>116198</v>
      </c>
      <c r="D8" s="47"/>
      <c r="E8" s="47"/>
      <c r="F8" s="47">
        <v>2090</v>
      </c>
      <c r="G8" s="47">
        <v>1950</v>
      </c>
      <c r="H8" s="47"/>
      <c r="I8" s="47">
        <v>1000</v>
      </c>
      <c r="J8" s="47"/>
      <c r="K8" s="47">
        <f t="shared" si="0"/>
        <v>121238</v>
      </c>
      <c r="L8" s="47">
        <v>14149</v>
      </c>
      <c r="M8" s="47">
        <v>351</v>
      </c>
      <c r="N8" s="47">
        <v>646</v>
      </c>
      <c r="O8" s="47"/>
      <c r="P8" s="47"/>
      <c r="Q8" s="47"/>
      <c r="R8" s="47"/>
      <c r="S8" s="47"/>
      <c r="T8" s="47">
        <f t="shared" si="1"/>
        <v>136384</v>
      </c>
    </row>
    <row r="9" spans="1:20" ht="13.5" customHeight="1">
      <c r="A9" s="19" t="s">
        <v>145</v>
      </c>
      <c r="C9" s="47">
        <f>45167+14000+4618</f>
        <v>63785</v>
      </c>
      <c r="D9" s="47"/>
      <c r="E9" s="47"/>
      <c r="F9" s="47">
        <v>0</v>
      </c>
      <c r="G9" s="47">
        <v>0</v>
      </c>
      <c r="H9" s="47"/>
      <c r="I9" s="47">
        <v>8230</v>
      </c>
      <c r="J9" s="47"/>
      <c r="K9" s="47">
        <f t="shared" si="0"/>
        <v>72015</v>
      </c>
      <c r="L9" s="47">
        <v>37782</v>
      </c>
      <c r="M9" s="47"/>
      <c r="N9" s="47">
        <v>280</v>
      </c>
      <c r="O9" s="47"/>
      <c r="P9" s="47"/>
      <c r="Q9" s="47"/>
      <c r="R9" s="47"/>
      <c r="S9" s="47"/>
      <c r="T9" s="47">
        <f t="shared" si="1"/>
        <v>110077</v>
      </c>
    </row>
    <row r="10" spans="1:20" ht="13.5" customHeight="1">
      <c r="A10" s="19" t="s">
        <v>302</v>
      </c>
      <c r="C10" s="47"/>
      <c r="D10" s="47"/>
      <c r="E10" s="47"/>
      <c r="F10" s="47"/>
      <c r="G10" s="47"/>
      <c r="H10" s="47"/>
      <c r="I10" s="47">
        <v>0</v>
      </c>
      <c r="J10" s="47"/>
      <c r="K10" s="47">
        <f t="shared" si="0"/>
        <v>0</v>
      </c>
      <c r="L10" s="47"/>
      <c r="M10" s="47"/>
      <c r="N10" s="47"/>
      <c r="O10" s="47"/>
      <c r="P10" s="47"/>
      <c r="Q10" s="47"/>
      <c r="R10" s="47"/>
      <c r="S10" s="47"/>
      <c r="T10" s="47">
        <f t="shared" si="1"/>
        <v>0</v>
      </c>
    </row>
    <row r="11" spans="1:20" ht="13.5" customHeight="1">
      <c r="A11" s="19" t="s">
        <v>146</v>
      </c>
      <c r="C11" s="47">
        <v>2000</v>
      </c>
      <c r="D11" s="47"/>
      <c r="E11" s="47"/>
      <c r="F11" s="47">
        <v>7200</v>
      </c>
      <c r="G11" s="47"/>
      <c r="H11" s="47"/>
      <c r="I11" s="47"/>
      <c r="J11" s="47"/>
      <c r="K11" s="47">
        <f t="shared" si="0"/>
        <v>9200</v>
      </c>
      <c r="L11" s="47"/>
      <c r="M11" s="47"/>
      <c r="N11" s="47"/>
      <c r="O11" s="47"/>
      <c r="P11" s="47"/>
      <c r="Q11" s="47"/>
      <c r="R11" s="47"/>
      <c r="S11" s="47"/>
      <c r="T11" s="47">
        <f t="shared" si="1"/>
        <v>9200</v>
      </c>
    </row>
    <row r="12" spans="1:20" ht="13.5" customHeight="1">
      <c r="A12" s="19" t="s">
        <v>147</v>
      </c>
      <c r="C12" s="47">
        <v>16774</v>
      </c>
      <c r="D12" s="47"/>
      <c r="E12" s="47"/>
      <c r="F12" s="47">
        <v>500</v>
      </c>
      <c r="G12" s="47">
        <v>1500</v>
      </c>
      <c r="H12" s="47"/>
      <c r="I12" s="47"/>
      <c r="J12" s="47"/>
      <c r="K12" s="47">
        <f t="shared" si="0"/>
        <v>18774</v>
      </c>
      <c r="L12" s="47"/>
      <c r="M12" s="47"/>
      <c r="N12" s="47"/>
      <c r="O12" s="47"/>
      <c r="P12" s="47"/>
      <c r="Q12" s="47"/>
      <c r="R12" s="47"/>
      <c r="S12" s="47"/>
      <c r="T12" s="47">
        <f t="shared" si="1"/>
        <v>18774</v>
      </c>
    </row>
    <row r="13" spans="1:20" ht="13.5" customHeight="1">
      <c r="A13" s="19" t="s">
        <v>148</v>
      </c>
      <c r="C13" s="47">
        <v>201241</v>
      </c>
      <c r="D13" s="47">
        <v>1200</v>
      </c>
      <c r="E13" s="47"/>
      <c r="F13" s="51">
        <f>34400-1200</f>
        <v>33200</v>
      </c>
      <c r="G13" s="47">
        <v>2100</v>
      </c>
      <c r="H13" s="47"/>
      <c r="I13" s="47">
        <v>5600</v>
      </c>
      <c r="J13" s="47"/>
      <c r="K13" s="47">
        <f t="shared" si="0"/>
        <v>243341</v>
      </c>
      <c r="L13" s="47">
        <v>13556</v>
      </c>
      <c r="M13" s="47">
        <v>3180</v>
      </c>
      <c r="N13" s="51">
        <v>914</v>
      </c>
      <c r="O13" s="47"/>
      <c r="P13" s="47"/>
      <c r="Q13" s="47"/>
      <c r="R13" s="47"/>
      <c r="S13" s="47"/>
      <c r="T13" s="47">
        <f t="shared" si="1"/>
        <v>260991</v>
      </c>
    </row>
    <row r="14" spans="1:20" ht="13.5" customHeight="1">
      <c r="A14" s="19" t="s">
        <v>306</v>
      </c>
      <c r="C14" s="47">
        <v>155000</v>
      </c>
      <c r="D14" s="47"/>
      <c r="E14" s="47"/>
      <c r="F14" s="51">
        <v>30060</v>
      </c>
      <c r="G14" s="47">
        <v>14565</v>
      </c>
      <c r="H14" s="350">
        <v>125000</v>
      </c>
      <c r="I14" s="47">
        <v>2750</v>
      </c>
      <c r="J14" s="47"/>
      <c r="K14" s="47">
        <f t="shared" si="0"/>
        <v>327375</v>
      </c>
      <c r="L14" s="47">
        <v>18540</v>
      </c>
      <c r="M14" s="47">
        <v>1532</v>
      </c>
      <c r="N14" s="51">
        <v>661</v>
      </c>
      <c r="O14" s="47"/>
      <c r="P14" s="47"/>
      <c r="Q14" s="47"/>
      <c r="R14" s="47"/>
      <c r="S14" s="47"/>
      <c r="T14" s="47">
        <f t="shared" si="1"/>
        <v>348108</v>
      </c>
    </row>
    <row r="15" spans="1:20" ht="13.5" customHeight="1">
      <c r="A15" s="19" t="s">
        <v>131</v>
      </c>
      <c r="C15" s="47">
        <f>130283+19642</f>
        <v>149925</v>
      </c>
      <c r="D15" s="47"/>
      <c r="E15" s="47"/>
      <c r="F15" s="47">
        <v>24250</v>
      </c>
      <c r="G15" s="47">
        <v>1855</v>
      </c>
      <c r="H15" s="47">
        <v>0</v>
      </c>
      <c r="I15" s="47">
        <v>2046</v>
      </c>
      <c r="J15" s="47"/>
      <c r="K15" s="47">
        <f t="shared" si="0"/>
        <v>178076</v>
      </c>
      <c r="L15" s="47">
        <v>27112</v>
      </c>
      <c r="M15" s="47">
        <v>1469</v>
      </c>
      <c r="N15" s="47">
        <v>754</v>
      </c>
      <c r="O15" s="47"/>
      <c r="P15" s="47"/>
      <c r="Q15" s="47"/>
      <c r="R15" s="47"/>
      <c r="S15" s="47"/>
      <c r="T15" s="47">
        <f t="shared" si="1"/>
        <v>207411</v>
      </c>
    </row>
    <row r="16" spans="1:20" ht="13.5" customHeight="1">
      <c r="A16" s="19" t="s">
        <v>149</v>
      </c>
      <c r="C16" s="47"/>
      <c r="D16" s="47"/>
      <c r="E16" s="47"/>
      <c r="F16" s="47">
        <v>340000</v>
      </c>
      <c r="G16" s="47"/>
      <c r="H16" s="47"/>
      <c r="I16" s="47">
        <v>5000</v>
      </c>
      <c r="J16" s="47"/>
      <c r="K16" s="47">
        <f t="shared" si="0"/>
        <v>345000</v>
      </c>
      <c r="L16" s="47"/>
      <c r="M16" s="47"/>
      <c r="N16" s="47"/>
      <c r="O16" s="47"/>
      <c r="P16" s="47"/>
      <c r="Q16" s="47"/>
      <c r="R16" s="47"/>
      <c r="S16" s="47"/>
      <c r="T16" s="47">
        <f t="shared" si="1"/>
        <v>345000</v>
      </c>
    </row>
    <row r="17" spans="1:20" ht="13.5" customHeight="1">
      <c r="A17" s="19" t="s">
        <v>150</v>
      </c>
      <c r="C17" s="47">
        <f>135935+31727</f>
        <v>167662</v>
      </c>
      <c r="D17" s="47">
        <v>350</v>
      </c>
      <c r="E17" s="47"/>
      <c r="F17" s="47">
        <v>85550</v>
      </c>
      <c r="G17" s="47">
        <v>2950</v>
      </c>
      <c r="H17" s="47"/>
      <c r="I17" s="47">
        <v>15250</v>
      </c>
      <c r="J17" s="47"/>
      <c r="K17" s="47">
        <f t="shared" si="0"/>
        <v>271762</v>
      </c>
      <c r="L17" s="47">
        <v>23523</v>
      </c>
      <c r="M17" s="47">
        <v>1602</v>
      </c>
      <c r="N17" s="47">
        <v>803</v>
      </c>
      <c r="O17" s="47"/>
      <c r="P17" s="47"/>
      <c r="Q17" s="47"/>
      <c r="R17" s="47"/>
      <c r="S17" s="47"/>
      <c r="T17" s="47">
        <f t="shared" si="1"/>
        <v>297690</v>
      </c>
    </row>
    <row r="18" spans="1:20" ht="13.5" customHeight="1">
      <c r="A18" s="19" t="s">
        <v>151</v>
      </c>
      <c r="C18" s="47">
        <f>7370+166388+12429+550+220</f>
        <v>186957</v>
      </c>
      <c r="D18" s="47"/>
      <c r="E18" s="47"/>
      <c r="F18" s="47">
        <v>78534</v>
      </c>
      <c r="G18" s="47">
        <v>4000</v>
      </c>
      <c r="H18" s="47"/>
      <c r="I18" s="47">
        <v>7283</v>
      </c>
      <c r="J18" s="47"/>
      <c r="K18" s="47">
        <f t="shared" si="0"/>
        <v>276774</v>
      </c>
      <c r="L18" s="47">
        <v>35145</v>
      </c>
      <c r="M18" s="47">
        <v>2545</v>
      </c>
      <c r="N18" s="47">
        <v>1159</v>
      </c>
      <c r="O18" s="47"/>
      <c r="P18" s="47"/>
      <c r="Q18" s="47"/>
      <c r="R18" s="47"/>
      <c r="S18" s="47"/>
      <c r="T18" s="47">
        <f t="shared" si="1"/>
        <v>315623</v>
      </c>
    </row>
    <row r="19" spans="1:20" ht="13.5" customHeight="1">
      <c r="A19" s="19" t="s">
        <v>152</v>
      </c>
      <c r="C19" s="47">
        <f>70980+205719+73119+1515-3978</f>
        <v>347355</v>
      </c>
      <c r="D19" s="47"/>
      <c r="E19" s="47"/>
      <c r="F19" s="51">
        <v>103696</v>
      </c>
      <c r="G19" s="47">
        <v>9600</v>
      </c>
      <c r="H19" s="47"/>
      <c r="I19" s="47">
        <v>6200</v>
      </c>
      <c r="J19" s="47"/>
      <c r="K19" s="47">
        <f t="shared" si="0"/>
        <v>466851</v>
      </c>
      <c r="L19" s="47">
        <v>55619</v>
      </c>
      <c r="M19" s="47">
        <v>3062</v>
      </c>
      <c r="N19" s="47">
        <v>1948</v>
      </c>
      <c r="O19" s="47"/>
      <c r="P19" s="47"/>
      <c r="Q19" s="47"/>
      <c r="R19" s="47"/>
      <c r="S19" s="47"/>
      <c r="T19" s="47">
        <f>SUM(K19:S19)-2</f>
        <v>527478</v>
      </c>
    </row>
    <row r="20" spans="1:20" ht="13.5" customHeight="1">
      <c r="A20" s="19" t="s">
        <v>153</v>
      </c>
      <c r="C20" s="47">
        <v>3000</v>
      </c>
      <c r="D20" s="47"/>
      <c r="E20" s="47"/>
      <c r="F20" s="47">
        <v>39000</v>
      </c>
      <c r="G20" s="47">
        <v>0</v>
      </c>
      <c r="H20" s="47"/>
      <c r="I20" s="47"/>
      <c r="J20" s="47"/>
      <c r="K20" s="47">
        <f t="shared" si="0"/>
        <v>42000</v>
      </c>
      <c r="L20" s="47">
        <v>0</v>
      </c>
      <c r="M20" s="47">
        <v>0</v>
      </c>
      <c r="N20" s="47">
        <v>17</v>
      </c>
      <c r="O20" s="47"/>
      <c r="P20" s="47"/>
      <c r="Q20" s="47"/>
      <c r="R20" s="47"/>
      <c r="S20" s="47"/>
      <c r="T20" s="47">
        <f t="shared" si="1"/>
        <v>42017</v>
      </c>
    </row>
    <row r="21" spans="1:20" ht="13.5" customHeight="1">
      <c r="A21" s="19" t="s">
        <v>155</v>
      </c>
      <c r="C21" s="47"/>
      <c r="D21" s="47"/>
      <c r="E21" s="47"/>
      <c r="F21" s="47"/>
      <c r="G21" s="47"/>
      <c r="H21" s="47"/>
      <c r="I21" s="47"/>
      <c r="J21" s="47"/>
      <c r="K21" s="47">
        <f t="shared" si="0"/>
        <v>0</v>
      </c>
      <c r="L21" s="47"/>
      <c r="M21" s="47"/>
      <c r="N21" s="47"/>
      <c r="O21" s="47"/>
      <c r="P21" s="47">
        <v>400000</v>
      </c>
      <c r="Q21" s="47"/>
      <c r="R21" s="47"/>
      <c r="S21" s="47"/>
      <c r="T21" s="47">
        <f t="shared" si="1"/>
        <v>400000</v>
      </c>
    </row>
    <row r="22" spans="1:20" ht="13.5" customHeight="1">
      <c r="A22" s="19" t="s">
        <v>154</v>
      </c>
      <c r="C22" s="47"/>
      <c r="D22" s="47"/>
      <c r="E22" s="47"/>
      <c r="F22" s="47"/>
      <c r="G22" s="47"/>
      <c r="H22" s="47"/>
      <c r="I22" s="47"/>
      <c r="J22" s="47"/>
      <c r="K22" s="47">
        <f t="shared" si="0"/>
        <v>0</v>
      </c>
      <c r="L22" s="47"/>
      <c r="M22" s="47"/>
      <c r="N22" s="47"/>
      <c r="O22" s="47">
        <v>3308436</v>
      </c>
      <c r="P22" s="47"/>
      <c r="Q22" s="47"/>
      <c r="R22" s="47"/>
      <c r="S22" s="47"/>
      <c r="T22" s="47">
        <f t="shared" si="1"/>
        <v>3308436</v>
      </c>
    </row>
    <row r="23" spans="1:20" ht="13.5" customHeight="1">
      <c r="A23" s="19" t="s">
        <v>199</v>
      </c>
      <c r="C23" s="47">
        <v>0</v>
      </c>
      <c r="D23" s="47"/>
      <c r="E23" s="47"/>
      <c r="F23" s="47" t="s">
        <v>16</v>
      </c>
      <c r="G23" s="47"/>
      <c r="H23" s="47"/>
      <c r="I23" s="47">
        <f>360000-40000</f>
        <v>320000</v>
      </c>
      <c r="J23" s="47"/>
      <c r="K23" s="47">
        <f t="shared" si="0"/>
        <v>320000</v>
      </c>
      <c r="L23" s="47">
        <v>1546903</v>
      </c>
      <c r="M23" s="47">
        <v>30000</v>
      </c>
      <c r="N23" s="47">
        <f>10000+25000+570000+14300+2500+18000</f>
        <v>639800</v>
      </c>
      <c r="O23" s="47"/>
      <c r="P23" s="47"/>
      <c r="Q23" s="47"/>
      <c r="R23" s="47"/>
      <c r="S23" s="47"/>
      <c r="T23" s="318">
        <f t="shared" si="1"/>
        <v>2536703</v>
      </c>
    </row>
    <row r="24" spans="1:20" ht="13.5" customHeight="1">
      <c r="A24" s="19" t="s">
        <v>156</v>
      </c>
      <c r="C24" s="47">
        <f>251013+8611+16228+4739</f>
        <v>280591</v>
      </c>
      <c r="D24" s="47"/>
      <c r="E24" s="47">
        <v>2420</v>
      </c>
      <c r="F24" s="47">
        <v>13371</v>
      </c>
      <c r="G24" s="47">
        <f>10429-2420</f>
        <v>8009</v>
      </c>
      <c r="H24" s="47"/>
      <c r="I24" s="47">
        <v>7335</v>
      </c>
      <c r="J24" s="47"/>
      <c r="K24" s="47">
        <f t="shared" si="0"/>
        <v>311726</v>
      </c>
      <c r="L24" s="47">
        <v>18540</v>
      </c>
      <c r="M24" s="47">
        <v>460</v>
      </c>
      <c r="N24" s="47">
        <v>204</v>
      </c>
      <c r="O24" s="47"/>
      <c r="P24" s="47"/>
      <c r="Q24" s="47"/>
      <c r="R24" s="47"/>
      <c r="S24" s="47"/>
      <c r="T24" s="47">
        <f t="shared" si="1"/>
        <v>330930</v>
      </c>
    </row>
    <row r="25" spans="1:20" ht="13.5" customHeight="1">
      <c r="A25" s="19" t="s">
        <v>157</v>
      </c>
      <c r="C25" s="47">
        <f>399309+34993+32185+2925+16750+16000+5000+4000+7750</f>
        <v>518912</v>
      </c>
      <c r="D25" s="47">
        <v>41000</v>
      </c>
      <c r="E25" s="47"/>
      <c r="F25" s="47">
        <f>58500-41000</f>
        <v>17500</v>
      </c>
      <c r="G25" s="47">
        <v>3600</v>
      </c>
      <c r="H25" s="47"/>
      <c r="I25" s="47"/>
      <c r="J25" s="47"/>
      <c r="K25" s="47">
        <f t="shared" si="0"/>
        <v>581012</v>
      </c>
      <c r="L25" s="47">
        <v>94958</v>
      </c>
      <c r="M25" s="47">
        <v>8293</v>
      </c>
      <c r="N25" s="47">
        <v>2292</v>
      </c>
      <c r="O25" s="47"/>
      <c r="P25" s="47"/>
      <c r="Q25" s="47"/>
      <c r="R25" s="47"/>
      <c r="S25" s="47"/>
      <c r="T25" s="47">
        <f t="shared" si="1"/>
        <v>686555</v>
      </c>
    </row>
    <row r="26" spans="1:20" ht="13.5" customHeight="1">
      <c r="A26" s="19" t="s">
        <v>158</v>
      </c>
      <c r="C26" s="47">
        <f>55776+325</f>
        <v>56101</v>
      </c>
      <c r="D26" s="47"/>
      <c r="E26" s="47"/>
      <c r="F26" s="47">
        <v>4600</v>
      </c>
      <c r="G26" s="47">
        <v>3556</v>
      </c>
      <c r="H26" s="47"/>
      <c r="I26" s="47"/>
      <c r="J26" s="47"/>
      <c r="K26" s="47">
        <f t="shared" si="0"/>
        <v>64257</v>
      </c>
      <c r="L26" s="47">
        <v>0</v>
      </c>
      <c r="M26" s="47">
        <v>575</v>
      </c>
      <c r="N26" s="47">
        <v>116</v>
      </c>
      <c r="O26" s="47"/>
      <c r="P26" s="47"/>
      <c r="Q26" s="47"/>
      <c r="R26" s="47"/>
      <c r="S26" s="47"/>
      <c r="T26" s="47">
        <f t="shared" si="1"/>
        <v>64948</v>
      </c>
    </row>
    <row r="27" spans="1:20" ht="13.5" customHeight="1">
      <c r="A27" s="19" t="s">
        <v>159</v>
      </c>
      <c r="C27" s="51">
        <f>2038214+150000+30746+91001+85468+53749+25000+5000</f>
        <v>2479178</v>
      </c>
      <c r="D27" s="51">
        <v>0</v>
      </c>
      <c r="E27" s="51">
        <v>28455</v>
      </c>
      <c r="F27" s="47">
        <v>62490</v>
      </c>
      <c r="G27" s="47">
        <f>58885-28455</f>
        <v>30430</v>
      </c>
      <c r="H27" s="47">
        <v>5000</v>
      </c>
      <c r="I27" s="47">
        <v>2263</v>
      </c>
      <c r="J27" s="47"/>
      <c r="K27" s="47">
        <f t="shared" si="0"/>
        <v>2607816</v>
      </c>
      <c r="L27" s="47">
        <v>469082</v>
      </c>
      <c r="M27" s="47">
        <v>22800</v>
      </c>
      <c r="N27" s="47">
        <v>0</v>
      </c>
      <c r="O27" s="47"/>
      <c r="P27" s="47"/>
      <c r="Q27" s="47"/>
      <c r="R27" s="47"/>
      <c r="S27" s="47"/>
      <c r="T27" s="47">
        <f t="shared" si="1"/>
        <v>3099698</v>
      </c>
    </row>
    <row r="28" spans="1:20" ht="13.5" customHeight="1">
      <c r="A28" s="19" t="s">
        <v>160</v>
      </c>
      <c r="C28" s="47">
        <f>172480+179886+6725+10069+7859+250+5162+853</f>
        <v>383284</v>
      </c>
      <c r="D28" s="47"/>
      <c r="E28" s="47">
        <v>7047</v>
      </c>
      <c r="F28" s="47">
        <v>4700</v>
      </c>
      <c r="G28" s="47">
        <f>18468-7047</f>
        <v>11421</v>
      </c>
      <c r="H28" s="47"/>
      <c r="I28" s="47">
        <v>210</v>
      </c>
      <c r="J28" s="47"/>
      <c r="K28" s="47">
        <f t="shared" si="0"/>
        <v>406662</v>
      </c>
      <c r="L28" s="47">
        <v>18540</v>
      </c>
      <c r="M28" s="47">
        <v>2273</v>
      </c>
      <c r="N28" s="47">
        <v>1502</v>
      </c>
      <c r="O28" s="47"/>
      <c r="P28" s="47"/>
      <c r="Q28" s="47"/>
      <c r="R28" s="47"/>
      <c r="S28" s="47"/>
      <c r="T28" s="47">
        <f t="shared" si="1"/>
        <v>428977</v>
      </c>
    </row>
    <row r="29" spans="1:20" ht="13.5" customHeight="1">
      <c r="A29" s="19" t="s">
        <v>161</v>
      </c>
      <c r="C29" s="47">
        <f>197206+5788+8985+500+5588</f>
        <v>218067</v>
      </c>
      <c r="D29" s="47"/>
      <c r="E29" s="47">
        <v>2759</v>
      </c>
      <c r="F29" s="47">
        <v>3930</v>
      </c>
      <c r="G29" s="47">
        <f>11273-2759</f>
        <v>8514</v>
      </c>
      <c r="H29" s="47"/>
      <c r="I29" s="47">
        <v>135</v>
      </c>
      <c r="J29" s="47"/>
      <c r="K29" s="47">
        <f t="shared" si="0"/>
        <v>233405</v>
      </c>
      <c r="L29" s="47">
        <v>0</v>
      </c>
      <c r="M29" s="47">
        <v>2250</v>
      </c>
      <c r="N29" s="47">
        <v>0</v>
      </c>
      <c r="O29" s="47"/>
      <c r="P29" s="47"/>
      <c r="Q29" s="47"/>
      <c r="R29" s="47"/>
      <c r="S29" s="47"/>
      <c r="T29" s="47">
        <f t="shared" si="1"/>
        <v>235655</v>
      </c>
    </row>
    <row r="30" spans="1:20" ht="13.5" customHeight="1">
      <c r="A30" s="19" t="s">
        <v>162</v>
      </c>
      <c r="C30" s="47">
        <f>228738+5000+8407+5304+2000</f>
        <v>249449</v>
      </c>
      <c r="D30" s="47"/>
      <c r="E30" s="47">
        <v>2424</v>
      </c>
      <c r="F30" s="47">
        <v>8379</v>
      </c>
      <c r="G30" s="47">
        <f>7225-2424</f>
        <v>4801</v>
      </c>
      <c r="H30" s="47"/>
      <c r="I30" s="47">
        <v>689</v>
      </c>
      <c r="J30" s="47"/>
      <c r="K30" s="47">
        <f t="shared" si="0"/>
        <v>265742</v>
      </c>
      <c r="L30" s="47">
        <v>4984</v>
      </c>
      <c r="M30" s="47">
        <v>2280</v>
      </c>
      <c r="N30" s="47">
        <v>2040</v>
      </c>
      <c r="O30" s="47"/>
      <c r="P30" s="47"/>
      <c r="Q30" s="47"/>
      <c r="R30" s="47"/>
      <c r="S30" s="47"/>
      <c r="T30" s="318">
        <f t="shared" si="1"/>
        <v>275046</v>
      </c>
    </row>
    <row r="31" spans="1:20" ht="13.5" customHeight="1">
      <c r="A31" s="19" t="s">
        <v>163</v>
      </c>
      <c r="C31" s="47">
        <f>228881+1890+8409+375+2100+4000</f>
        <v>245655</v>
      </c>
      <c r="D31" s="47"/>
      <c r="E31" s="47"/>
      <c r="F31" s="47">
        <v>7000</v>
      </c>
      <c r="G31" s="47">
        <v>14050</v>
      </c>
      <c r="H31" s="47"/>
      <c r="I31" s="47">
        <v>2800</v>
      </c>
      <c r="J31" s="47"/>
      <c r="K31" s="47">
        <f t="shared" si="0"/>
        <v>269505</v>
      </c>
      <c r="L31" s="47">
        <v>18540</v>
      </c>
      <c r="M31" s="47">
        <v>0</v>
      </c>
      <c r="N31" s="47">
        <v>204</v>
      </c>
      <c r="O31" s="47"/>
      <c r="P31" s="47"/>
      <c r="Q31" s="47"/>
      <c r="R31" s="47"/>
      <c r="S31" s="47"/>
      <c r="T31" s="47">
        <f t="shared" si="1"/>
        <v>288249</v>
      </c>
    </row>
    <row r="32" spans="1:20" ht="13.5" customHeight="1">
      <c r="A32" s="19" t="s">
        <v>164</v>
      </c>
      <c r="B32" t="s">
        <v>16</v>
      </c>
      <c r="C32" s="47">
        <f>2459034+295000+12000+129230+11000+28504+13000+54600+20000+24894</f>
        <v>3047262</v>
      </c>
      <c r="D32" s="47"/>
      <c r="E32" s="47">
        <v>10000</v>
      </c>
      <c r="F32" s="47">
        <v>17000</v>
      </c>
      <c r="G32" s="47">
        <f>53000-10000</f>
        <v>43000</v>
      </c>
      <c r="H32" s="47">
        <v>9000</v>
      </c>
      <c r="I32" s="47">
        <v>2500</v>
      </c>
      <c r="J32" s="47"/>
      <c r="K32" s="47">
        <f t="shared" si="0"/>
        <v>3128762</v>
      </c>
      <c r="L32" s="47">
        <v>623477</v>
      </c>
      <c r="M32" s="47">
        <v>24880</v>
      </c>
      <c r="N32" s="47" t="s">
        <v>16</v>
      </c>
      <c r="O32" s="47"/>
      <c r="P32" s="47"/>
      <c r="Q32" s="47"/>
      <c r="R32" s="47"/>
      <c r="S32" s="47"/>
      <c r="T32" s="47">
        <f t="shared" si="1"/>
        <v>3777119</v>
      </c>
    </row>
    <row r="33" spans="1:20" ht="13.5" customHeight="1">
      <c r="A33" s="19" t="s">
        <v>165</v>
      </c>
      <c r="C33" s="47">
        <v>93000</v>
      </c>
      <c r="D33" s="47"/>
      <c r="E33" s="47">
        <v>3300</v>
      </c>
      <c r="F33" s="47">
        <v>4000</v>
      </c>
      <c r="G33" s="47">
        <f>22300-3300</f>
        <v>19000</v>
      </c>
      <c r="H33" s="47">
        <v>0</v>
      </c>
      <c r="I33" s="47"/>
      <c r="J33" s="47"/>
      <c r="K33" s="47">
        <f t="shared" si="0"/>
        <v>119300</v>
      </c>
      <c r="L33" s="47">
        <v>0</v>
      </c>
      <c r="M33" s="47">
        <v>0</v>
      </c>
      <c r="N33" s="47" t="s">
        <v>16</v>
      </c>
      <c r="O33" s="47"/>
      <c r="P33" s="47"/>
      <c r="Q33" s="47"/>
      <c r="R33" s="47"/>
      <c r="S33" s="47"/>
      <c r="T33" s="47">
        <f t="shared" si="1"/>
        <v>119300</v>
      </c>
    </row>
    <row r="34" spans="1:20" ht="13.5" customHeight="1">
      <c r="A34" s="19" t="s">
        <v>166</v>
      </c>
      <c r="C34" s="47">
        <v>9000</v>
      </c>
      <c r="D34" s="47">
        <v>2200</v>
      </c>
      <c r="E34" s="47"/>
      <c r="F34" s="47">
        <v>5500</v>
      </c>
      <c r="G34" s="47">
        <v>300</v>
      </c>
      <c r="H34" s="174">
        <f>1100+450</f>
        <v>1550</v>
      </c>
      <c r="I34" s="47">
        <v>50</v>
      </c>
      <c r="J34" s="47"/>
      <c r="K34" s="47">
        <f t="shared" si="0"/>
        <v>18600</v>
      </c>
      <c r="L34" s="47"/>
      <c r="M34" s="47"/>
      <c r="N34" s="47"/>
      <c r="O34" s="47"/>
      <c r="P34" s="47"/>
      <c r="Q34" s="47"/>
      <c r="R34" s="47"/>
      <c r="S34" s="47"/>
      <c r="T34" s="318">
        <f t="shared" si="1"/>
        <v>18600</v>
      </c>
    </row>
    <row r="35" spans="1:20" ht="13.5" customHeight="1">
      <c r="A35" s="19" t="s">
        <v>167</v>
      </c>
      <c r="C35" s="47">
        <f>124527+600+325</f>
        <v>125452</v>
      </c>
      <c r="D35" s="47">
        <v>2220</v>
      </c>
      <c r="E35" s="47"/>
      <c r="F35" s="47">
        <f>37759-2220</f>
        <v>35539</v>
      </c>
      <c r="G35" s="47">
        <v>3560</v>
      </c>
      <c r="H35" s="47"/>
      <c r="I35" s="47">
        <v>2233</v>
      </c>
      <c r="J35" s="47"/>
      <c r="K35" s="47">
        <f t="shared" si="0"/>
        <v>169004</v>
      </c>
      <c r="L35" s="47">
        <v>13556</v>
      </c>
      <c r="M35" s="47">
        <v>1302</v>
      </c>
      <c r="N35" s="47">
        <v>758</v>
      </c>
      <c r="O35" s="47"/>
      <c r="P35" s="47"/>
      <c r="Q35" s="47"/>
      <c r="R35" s="47"/>
      <c r="S35" s="47"/>
      <c r="T35" s="47">
        <f t="shared" si="1"/>
        <v>184620</v>
      </c>
    </row>
    <row r="36" spans="1:20" ht="13.5" customHeight="1">
      <c r="A36" s="19" t="s">
        <v>132</v>
      </c>
      <c r="B36" t="s">
        <v>16</v>
      </c>
      <c r="C36" s="47">
        <f>175634+600+225-25000</f>
        <v>151459</v>
      </c>
      <c r="D36" s="47"/>
      <c r="E36" s="47"/>
      <c r="F36" s="47">
        <v>19200</v>
      </c>
      <c r="G36" s="47">
        <v>700</v>
      </c>
      <c r="H36" s="47"/>
      <c r="I36" s="47">
        <v>1746</v>
      </c>
      <c r="J36" s="47"/>
      <c r="K36" s="47">
        <f t="shared" si="0"/>
        <v>173105</v>
      </c>
      <c r="L36" s="47">
        <v>18540</v>
      </c>
      <c r="M36" s="47">
        <v>2050</v>
      </c>
      <c r="N36" s="47">
        <v>1013</v>
      </c>
      <c r="O36" s="47"/>
      <c r="P36" s="47"/>
      <c r="Q36" s="47"/>
      <c r="R36" s="47"/>
      <c r="S36" s="47"/>
      <c r="T36" s="47">
        <f t="shared" si="1"/>
        <v>194708</v>
      </c>
    </row>
    <row r="37" spans="1:20" ht="13.5" customHeight="1">
      <c r="A37" s="19" t="s">
        <v>168</v>
      </c>
      <c r="C37" s="47">
        <f>88390+5040+1655+600+425</f>
        <v>96110</v>
      </c>
      <c r="D37" s="47"/>
      <c r="E37" s="47">
        <v>700</v>
      </c>
      <c r="F37" s="47">
        <v>150</v>
      </c>
      <c r="G37" s="47">
        <f>2572-700</f>
        <v>1872</v>
      </c>
      <c r="H37" s="47"/>
      <c r="I37" s="47">
        <v>520</v>
      </c>
      <c r="J37" s="47"/>
      <c r="K37" s="47">
        <f t="shared" si="0"/>
        <v>99352</v>
      </c>
      <c r="L37" s="47">
        <v>13556</v>
      </c>
      <c r="M37" s="47">
        <v>703</v>
      </c>
      <c r="N37" s="47">
        <v>409</v>
      </c>
      <c r="O37" s="47"/>
      <c r="P37" s="47"/>
      <c r="Q37" s="47"/>
      <c r="R37" s="47"/>
      <c r="S37" s="47"/>
      <c r="T37" s="47">
        <f t="shared" si="1"/>
        <v>114020</v>
      </c>
    </row>
    <row r="38" spans="1:20" ht="13.5" customHeight="1">
      <c r="A38" s="19" t="s">
        <v>169</v>
      </c>
      <c r="C38" s="47">
        <f>168067+17920+1800+550+850</f>
        <v>189187</v>
      </c>
      <c r="D38" s="47"/>
      <c r="E38" s="47"/>
      <c r="F38" s="47">
        <f>3765+32054</f>
        <v>35819</v>
      </c>
      <c r="G38" s="47">
        <v>500</v>
      </c>
      <c r="H38" s="47"/>
      <c r="I38" s="47">
        <v>1482</v>
      </c>
      <c r="J38" s="47"/>
      <c r="K38" s="47">
        <f t="shared" si="0"/>
        <v>226988</v>
      </c>
      <c r="L38" s="47">
        <v>46354</v>
      </c>
      <c r="M38" s="47">
        <v>1450</v>
      </c>
      <c r="N38" s="47">
        <v>850</v>
      </c>
      <c r="O38" s="47"/>
      <c r="P38" s="47"/>
      <c r="Q38" s="47"/>
      <c r="R38" s="47"/>
      <c r="S38" s="47"/>
      <c r="T38" s="47">
        <f t="shared" si="1"/>
        <v>275642</v>
      </c>
    </row>
    <row r="39" spans="1:20" ht="13.5" customHeight="1">
      <c r="A39" s="19" t="s">
        <v>170</v>
      </c>
      <c r="C39" s="47">
        <f>190316+225+1350+6750+1500+13425+220</f>
        <v>213786</v>
      </c>
      <c r="D39" s="47"/>
      <c r="E39" s="47"/>
      <c r="F39" s="47">
        <v>4280</v>
      </c>
      <c r="G39" s="47">
        <v>5105</v>
      </c>
      <c r="H39" s="47">
        <v>0</v>
      </c>
      <c r="I39" s="47">
        <v>4150</v>
      </c>
      <c r="J39" s="47"/>
      <c r="K39" s="47">
        <f t="shared" si="0"/>
        <v>227321</v>
      </c>
      <c r="L39" s="47">
        <v>40668</v>
      </c>
      <c r="M39" s="47">
        <v>2883</v>
      </c>
      <c r="N39" s="47">
        <v>1715</v>
      </c>
      <c r="O39" s="47"/>
      <c r="P39" s="47"/>
      <c r="Q39" s="47"/>
      <c r="R39" s="47"/>
      <c r="S39" s="47"/>
      <c r="T39" s="47">
        <f>SUM(K39:S39)+2</f>
        <v>272589</v>
      </c>
    </row>
    <row r="40" spans="1:20" ht="13.5" customHeight="1">
      <c r="A40" s="19" t="s">
        <v>171</v>
      </c>
      <c r="C40" s="47">
        <f>213626+41213+93000</f>
        <v>347839</v>
      </c>
      <c r="D40" s="47"/>
      <c r="E40" s="47"/>
      <c r="F40" s="47">
        <v>180617</v>
      </c>
      <c r="G40" s="47">
        <v>231080</v>
      </c>
      <c r="H40" s="47"/>
      <c r="I40" s="47"/>
      <c r="J40" s="47"/>
      <c r="K40" s="47">
        <f t="shared" si="0"/>
        <v>759536</v>
      </c>
      <c r="L40" s="47">
        <v>13556</v>
      </c>
      <c r="M40" s="47">
        <v>1350</v>
      </c>
      <c r="N40" s="47">
        <f>1755+72</f>
        <v>1827</v>
      </c>
      <c r="O40" s="47"/>
      <c r="P40" s="47"/>
      <c r="Q40" s="47"/>
      <c r="R40" s="47"/>
      <c r="S40" s="47"/>
      <c r="T40" s="47">
        <f t="shared" si="1"/>
        <v>776269</v>
      </c>
    </row>
    <row r="41" spans="1:20" ht="13.5" customHeight="1">
      <c r="A41" s="19" t="s">
        <v>172</v>
      </c>
      <c r="C41" s="47"/>
      <c r="D41" s="47"/>
      <c r="E41" s="47"/>
      <c r="F41" s="47">
        <v>0</v>
      </c>
      <c r="G41" s="47"/>
      <c r="H41" s="47"/>
      <c r="I41" s="47"/>
      <c r="J41" s="47"/>
      <c r="K41" s="47">
        <f t="shared" si="0"/>
        <v>0</v>
      </c>
      <c r="L41" s="47"/>
      <c r="M41" s="47"/>
      <c r="N41" s="47"/>
      <c r="O41" s="47"/>
      <c r="P41" s="47"/>
      <c r="Q41" s="47"/>
      <c r="R41" s="47"/>
      <c r="S41" s="47"/>
      <c r="T41" s="47">
        <f t="shared" si="1"/>
        <v>0</v>
      </c>
    </row>
    <row r="42" spans="1:20" ht="13.5" customHeight="1">
      <c r="A42" s="19" t="s">
        <v>173</v>
      </c>
      <c r="C42" s="48" t="s">
        <v>16</v>
      </c>
      <c r="D42" s="47"/>
      <c r="E42" s="47"/>
      <c r="F42" s="47"/>
      <c r="G42" s="47"/>
      <c r="H42" s="47"/>
      <c r="I42" s="47"/>
      <c r="J42" s="47"/>
      <c r="K42" s="47">
        <f t="shared" si="0"/>
        <v>0</v>
      </c>
      <c r="L42" s="48" t="s">
        <v>16</v>
      </c>
      <c r="M42" s="48" t="s">
        <v>16</v>
      </c>
      <c r="N42" s="48" t="s">
        <v>16</v>
      </c>
      <c r="O42" s="48" t="s">
        <v>16</v>
      </c>
      <c r="P42" s="47"/>
      <c r="Q42" s="47"/>
      <c r="R42" s="47"/>
      <c r="S42" s="47"/>
      <c r="T42" s="47">
        <f t="shared" si="1"/>
        <v>0</v>
      </c>
    </row>
    <row r="43" spans="1:20" ht="13.5" customHeight="1">
      <c r="A43" s="19" t="s">
        <v>174</v>
      </c>
      <c r="C43" s="47"/>
      <c r="D43" s="47"/>
      <c r="E43" s="47"/>
      <c r="F43" s="47"/>
      <c r="G43" s="47"/>
      <c r="H43" s="47"/>
      <c r="I43" s="47"/>
      <c r="J43" s="47"/>
      <c r="K43" s="47">
        <f t="shared" si="0"/>
        <v>0</v>
      </c>
      <c r="L43" s="47"/>
      <c r="M43" s="47"/>
      <c r="N43" s="47"/>
      <c r="O43" s="47"/>
      <c r="P43" s="47"/>
      <c r="Q43" s="47"/>
      <c r="R43" s="47"/>
      <c r="S43" s="47"/>
      <c r="T43" s="47">
        <f t="shared" si="1"/>
        <v>0</v>
      </c>
    </row>
    <row r="44" spans="1:20" ht="13.5" customHeight="1">
      <c r="A44" s="19" t="s">
        <v>175</v>
      </c>
      <c r="C44" s="48" t="s">
        <v>16</v>
      </c>
      <c r="D44" s="47"/>
      <c r="E44" s="47"/>
      <c r="F44" s="47"/>
      <c r="G44" s="47"/>
      <c r="H44" s="47"/>
      <c r="I44" s="47"/>
      <c r="J44" s="47"/>
      <c r="K44" s="47">
        <f t="shared" si="0"/>
        <v>0</v>
      </c>
      <c r="L44" s="47"/>
      <c r="M44" s="48" t="s">
        <v>16</v>
      </c>
      <c r="N44" s="49" t="s">
        <v>16</v>
      </c>
      <c r="O44" s="47"/>
      <c r="P44" s="47"/>
      <c r="Q44" s="47"/>
      <c r="R44" s="47"/>
      <c r="S44" s="47"/>
      <c r="T44" s="47">
        <f t="shared" si="1"/>
        <v>0</v>
      </c>
    </row>
    <row r="45" spans="1:20" ht="13.5" customHeight="1">
      <c r="A45" s="19" t="s">
        <v>176</v>
      </c>
      <c r="C45" s="47">
        <f>269988+600+1175</f>
        <v>271763</v>
      </c>
      <c r="D45" s="47">
        <v>0</v>
      </c>
      <c r="E45" s="47">
        <f>25401+32627+4253</f>
        <v>62281</v>
      </c>
      <c r="F45" s="47">
        <v>9540</v>
      </c>
      <c r="G45" s="47">
        <f>139435-62281</f>
        <v>77154</v>
      </c>
      <c r="H45" s="47">
        <v>8500</v>
      </c>
      <c r="I45" s="47"/>
      <c r="J45" s="47"/>
      <c r="K45" s="47">
        <f t="shared" si="0"/>
        <v>429238</v>
      </c>
      <c r="L45" s="47">
        <v>40668</v>
      </c>
      <c r="M45" s="47">
        <v>2900</v>
      </c>
      <c r="N45" s="47">
        <f>120+12434</f>
        <v>12554</v>
      </c>
      <c r="O45" s="47"/>
      <c r="P45" s="47"/>
      <c r="Q45" s="47"/>
      <c r="R45" s="47"/>
      <c r="S45" s="47"/>
      <c r="T45" s="47">
        <f t="shared" si="1"/>
        <v>485360</v>
      </c>
    </row>
    <row r="46" spans="1:20" ht="13.5" customHeight="1">
      <c r="A46" s="19" t="s">
        <v>177</v>
      </c>
      <c r="C46" s="47">
        <v>29158</v>
      </c>
      <c r="D46" s="47"/>
      <c r="E46" s="47"/>
      <c r="F46" s="51">
        <v>156083</v>
      </c>
      <c r="G46" s="47">
        <v>12500</v>
      </c>
      <c r="H46" s="47"/>
      <c r="I46" s="47">
        <v>300</v>
      </c>
      <c r="J46" s="47"/>
      <c r="K46" s="47">
        <f t="shared" si="0"/>
        <v>198041</v>
      </c>
      <c r="L46" s="47">
        <v>13556</v>
      </c>
      <c r="M46" s="50">
        <v>350</v>
      </c>
      <c r="N46" s="50">
        <v>1266</v>
      </c>
      <c r="O46" s="47"/>
      <c r="P46" s="47"/>
      <c r="Q46" s="47"/>
      <c r="R46" s="47"/>
      <c r="S46" s="47"/>
      <c r="T46" s="47">
        <f t="shared" si="1"/>
        <v>213213</v>
      </c>
    </row>
    <row r="47" spans="1:20" ht="13.5" customHeight="1">
      <c r="A47" s="19" t="s">
        <v>178</v>
      </c>
      <c r="C47" s="47">
        <f>34870+28080+113</f>
        <v>63063</v>
      </c>
      <c r="D47" s="47">
        <v>2200</v>
      </c>
      <c r="E47" s="47"/>
      <c r="F47" s="47"/>
      <c r="G47" s="47">
        <v>6200</v>
      </c>
      <c r="H47" s="47"/>
      <c r="I47" s="47"/>
      <c r="J47" s="47"/>
      <c r="K47" s="47">
        <f t="shared" si="0"/>
        <v>71463</v>
      </c>
      <c r="L47" s="47">
        <v>13556</v>
      </c>
      <c r="M47" s="50">
        <v>660</v>
      </c>
      <c r="N47" s="50">
        <f>1571+24</f>
        <v>1595</v>
      </c>
      <c r="O47" s="47"/>
      <c r="P47" s="47"/>
      <c r="Q47" s="47"/>
      <c r="R47" s="47"/>
      <c r="S47" s="47"/>
      <c r="T47" s="47">
        <f t="shared" si="1"/>
        <v>87274</v>
      </c>
    </row>
    <row r="48" spans="1:20" ht="13.5" customHeight="1">
      <c r="A48" s="19" t="s">
        <v>179</v>
      </c>
      <c r="C48" s="51">
        <f>65826+1970+425</f>
        <v>68221</v>
      </c>
      <c r="D48" s="47"/>
      <c r="E48" s="47"/>
      <c r="F48" s="47"/>
      <c r="G48" s="47">
        <v>20730</v>
      </c>
      <c r="H48" s="47"/>
      <c r="I48" s="47"/>
      <c r="J48" s="47"/>
      <c r="K48" s="47">
        <f t="shared" si="0"/>
        <v>88951</v>
      </c>
      <c r="L48" s="47">
        <v>27112</v>
      </c>
      <c r="M48" s="47">
        <v>660</v>
      </c>
      <c r="N48" s="50">
        <f>3178+72</f>
        <v>3250</v>
      </c>
      <c r="O48" s="47"/>
      <c r="P48" s="47"/>
      <c r="Q48" s="47">
        <v>2228670</v>
      </c>
      <c r="R48" s="47"/>
      <c r="S48" s="47"/>
      <c r="T48" s="47">
        <f t="shared" si="1"/>
        <v>2348643</v>
      </c>
    </row>
    <row r="49" spans="1:20" ht="13.5" customHeight="1">
      <c r="A49" s="19" t="s">
        <v>183</v>
      </c>
      <c r="C49" s="47"/>
      <c r="D49" s="47">
        <v>190000</v>
      </c>
      <c r="E49" s="47"/>
      <c r="F49" s="47" t="s">
        <v>16</v>
      </c>
      <c r="G49" s="47"/>
      <c r="H49" s="47"/>
      <c r="I49" s="47"/>
      <c r="J49" s="47"/>
      <c r="K49" s="47">
        <f t="shared" si="0"/>
        <v>190000</v>
      </c>
      <c r="L49" s="47"/>
      <c r="M49" s="47"/>
      <c r="N49" s="47"/>
      <c r="O49" s="47"/>
      <c r="P49" s="47"/>
      <c r="Q49" s="47"/>
      <c r="R49" s="47"/>
      <c r="S49" s="47"/>
      <c r="T49" s="47">
        <f t="shared" si="1"/>
        <v>190000</v>
      </c>
    </row>
    <row r="50" spans="1:20" ht="13.5" customHeight="1">
      <c r="A50" s="19" t="s">
        <v>184</v>
      </c>
      <c r="C50" s="47">
        <f>137577+41047+3500+225+20000</f>
        <v>202349</v>
      </c>
      <c r="D50" s="47">
        <f>100000+20000+24000</f>
        <v>144000</v>
      </c>
      <c r="E50" s="47">
        <v>86000</v>
      </c>
      <c r="F50" s="47">
        <f>275500-204000+60000</f>
        <v>131500</v>
      </c>
      <c r="G50" s="47">
        <f>108200-86000</f>
        <v>22200</v>
      </c>
      <c r="H50" s="47">
        <v>0</v>
      </c>
      <c r="I50" s="47">
        <v>0</v>
      </c>
      <c r="J50" s="47"/>
      <c r="K50" s="47">
        <f t="shared" si="0"/>
        <v>586049</v>
      </c>
      <c r="L50" s="47">
        <v>18540</v>
      </c>
      <c r="M50" s="47">
        <v>2110</v>
      </c>
      <c r="N50" s="47">
        <v>1652</v>
      </c>
      <c r="O50" s="47"/>
      <c r="P50" s="47"/>
      <c r="Q50" s="47"/>
      <c r="R50" s="47"/>
      <c r="S50" s="47"/>
      <c r="T50" s="47">
        <f t="shared" si="1"/>
        <v>608351</v>
      </c>
    </row>
    <row r="51" spans="1:20" ht="13.5" customHeight="1">
      <c r="A51" s="19" t="s">
        <v>380</v>
      </c>
      <c r="C51" s="47">
        <f>206108+19440+28475+750+1250+2125</f>
        <v>258148</v>
      </c>
      <c r="D51" s="47">
        <f>38000+17056+2340</f>
        <v>57396</v>
      </c>
      <c r="E51" s="47">
        <f>3340+6281+1397</f>
        <v>11018</v>
      </c>
      <c r="F51" s="47">
        <f>94984-57396</f>
        <v>37588</v>
      </c>
      <c r="G51" s="47">
        <f>87718-11018</f>
        <v>76700</v>
      </c>
      <c r="H51" s="47">
        <v>0</v>
      </c>
      <c r="I51" s="47"/>
      <c r="J51" s="47"/>
      <c r="K51" s="47">
        <f t="shared" si="0"/>
        <v>440850</v>
      </c>
      <c r="L51" s="47">
        <v>37079</v>
      </c>
      <c r="M51" s="47">
        <v>2100</v>
      </c>
      <c r="N51" s="47">
        <v>2200</v>
      </c>
      <c r="O51" s="47"/>
      <c r="P51" s="47"/>
      <c r="Q51" s="47"/>
      <c r="R51" s="47"/>
      <c r="S51" s="47"/>
      <c r="T51" s="47">
        <f t="shared" si="1"/>
        <v>482229</v>
      </c>
    </row>
    <row r="52" spans="1:20" ht="13.5" customHeight="1">
      <c r="A52" s="19" t="s">
        <v>130</v>
      </c>
      <c r="C52" s="47">
        <f>223270+22872+16550+875+1275+240</f>
        <v>265082</v>
      </c>
      <c r="D52" s="47">
        <f>1512+1775+5235</f>
        <v>8522</v>
      </c>
      <c r="E52" s="47">
        <f>2391+3300+1469</f>
        <v>7160</v>
      </c>
      <c r="F52" s="47">
        <f>16560-8522</f>
        <v>8038</v>
      </c>
      <c r="G52" s="47">
        <f>24893-7160</f>
        <v>17733</v>
      </c>
      <c r="H52" s="47"/>
      <c r="I52" s="47">
        <v>80</v>
      </c>
      <c r="J52" s="47"/>
      <c r="K52" s="47">
        <f t="shared" si="0"/>
        <v>306615</v>
      </c>
      <c r="L52" s="47">
        <v>45651</v>
      </c>
      <c r="M52" s="47">
        <v>2222</v>
      </c>
      <c r="N52" s="47">
        <v>5575</v>
      </c>
      <c r="O52" s="47"/>
      <c r="P52" s="47"/>
      <c r="Q52" s="47"/>
      <c r="R52" s="47"/>
      <c r="S52" s="47"/>
      <c r="T52" s="318">
        <f t="shared" si="1"/>
        <v>360063</v>
      </c>
    </row>
    <row r="53" spans="1:20" ht="13.5" customHeight="1">
      <c r="A53" s="19" t="s">
        <v>129</v>
      </c>
      <c r="C53" s="47">
        <f>161577+40566+900+225</f>
        <v>203268</v>
      </c>
      <c r="D53" s="47"/>
      <c r="E53" s="47"/>
      <c r="F53" s="47">
        <f>12505-5000</f>
        <v>7505</v>
      </c>
      <c r="G53" s="47">
        <v>2560</v>
      </c>
      <c r="H53" s="47"/>
      <c r="I53" s="47">
        <v>1857</v>
      </c>
      <c r="J53" s="47"/>
      <c r="K53" s="47">
        <f t="shared" si="0"/>
        <v>215190</v>
      </c>
      <c r="L53" s="47">
        <v>32096</v>
      </c>
      <c r="M53" s="47">
        <v>1760</v>
      </c>
      <c r="N53" s="47">
        <v>200</v>
      </c>
      <c r="O53" s="47"/>
      <c r="P53" s="47"/>
      <c r="Q53" s="47"/>
      <c r="R53" s="47"/>
      <c r="S53" s="47"/>
      <c r="T53" s="47">
        <f t="shared" si="1"/>
        <v>249246</v>
      </c>
    </row>
    <row r="54" spans="1:20" ht="13.5" customHeight="1">
      <c r="A54" s="19" t="s">
        <v>186</v>
      </c>
      <c r="C54" s="51">
        <f>43012+800</f>
        <v>43812</v>
      </c>
      <c r="D54" s="47"/>
      <c r="E54" s="47">
        <v>1250</v>
      </c>
      <c r="F54" s="47">
        <v>17523</v>
      </c>
      <c r="G54" s="47">
        <f>2400-1250</f>
        <v>1150</v>
      </c>
      <c r="H54" s="47"/>
      <c r="I54" s="47">
        <v>945</v>
      </c>
      <c r="J54" s="47"/>
      <c r="K54" s="47">
        <f t="shared" si="0"/>
        <v>64680</v>
      </c>
      <c r="L54" s="47">
        <v>0</v>
      </c>
      <c r="M54" s="47">
        <v>420</v>
      </c>
      <c r="N54" s="47" t="s">
        <v>16</v>
      </c>
      <c r="O54" s="47"/>
      <c r="P54" s="47"/>
      <c r="Q54" s="47"/>
      <c r="R54" s="47"/>
      <c r="S54" s="47"/>
      <c r="T54" s="47">
        <f t="shared" si="1"/>
        <v>65100</v>
      </c>
    </row>
    <row r="55" spans="1:20" ht="13.5" customHeight="1">
      <c r="A55" s="19" t="s">
        <v>307</v>
      </c>
      <c r="C55" s="47">
        <v>5000</v>
      </c>
      <c r="D55" s="47"/>
      <c r="E55" s="47"/>
      <c r="F55" s="47"/>
      <c r="G55" s="47">
        <v>430</v>
      </c>
      <c r="H55" s="47"/>
      <c r="I55" s="47"/>
      <c r="J55" s="47"/>
      <c r="K55" s="47">
        <f t="shared" si="0"/>
        <v>5430</v>
      </c>
      <c r="L55" s="47"/>
      <c r="M55" s="47"/>
      <c r="N55" s="47"/>
      <c r="O55" s="47"/>
      <c r="P55" s="47"/>
      <c r="Q55" s="47"/>
      <c r="R55" s="47"/>
      <c r="S55" s="47"/>
      <c r="T55" s="47">
        <f t="shared" si="1"/>
        <v>5430</v>
      </c>
    </row>
    <row r="56" spans="1:20" ht="13.5" customHeight="1">
      <c r="A56" s="19" t="s">
        <v>188</v>
      </c>
      <c r="C56" s="47">
        <f>191540+107219-28750</f>
        <v>270009</v>
      </c>
      <c r="D56" s="47"/>
      <c r="E56" s="47"/>
      <c r="F56" s="47">
        <v>137038</v>
      </c>
      <c r="G56" s="47">
        <v>7000</v>
      </c>
      <c r="H56" s="47"/>
      <c r="I56" s="47">
        <v>850</v>
      </c>
      <c r="J56" s="47"/>
      <c r="K56" s="47">
        <f t="shared" si="0"/>
        <v>414897</v>
      </c>
      <c r="L56" s="47">
        <v>57710</v>
      </c>
      <c r="M56" s="47">
        <v>3683</v>
      </c>
      <c r="N56" s="47">
        <v>1496</v>
      </c>
      <c r="O56" s="47"/>
      <c r="P56" s="47"/>
      <c r="Q56" s="47"/>
      <c r="R56" s="47"/>
      <c r="S56" s="47"/>
      <c r="T56" s="47">
        <f t="shared" si="1"/>
        <v>477786</v>
      </c>
    </row>
    <row r="57" spans="1:20" ht="13.5" customHeight="1">
      <c r="A57" s="19" t="s">
        <v>189</v>
      </c>
      <c r="C57" s="47">
        <v>12000</v>
      </c>
      <c r="D57" s="47"/>
      <c r="E57" s="47"/>
      <c r="F57" s="47"/>
      <c r="G57" s="47">
        <v>175</v>
      </c>
      <c r="H57" s="47"/>
      <c r="I57" s="47">
        <v>7075</v>
      </c>
      <c r="J57" s="47"/>
      <c r="K57" s="47">
        <f t="shared" si="0"/>
        <v>19250</v>
      </c>
      <c r="L57" s="47"/>
      <c r="M57" s="47"/>
      <c r="N57" s="47"/>
      <c r="O57" s="47"/>
      <c r="P57" s="47"/>
      <c r="Q57" s="47"/>
      <c r="R57" s="47"/>
      <c r="S57" s="47"/>
      <c r="T57" s="47">
        <f t="shared" si="1"/>
        <v>19250</v>
      </c>
    </row>
    <row r="58" spans="1:20" ht="13.5" customHeight="1">
      <c r="A58" s="19" t="s">
        <v>190</v>
      </c>
      <c r="C58" s="47">
        <v>19676</v>
      </c>
      <c r="D58" s="47"/>
      <c r="E58" s="47"/>
      <c r="F58" s="47">
        <v>21643</v>
      </c>
      <c r="G58" s="47">
        <v>800</v>
      </c>
      <c r="H58" s="47"/>
      <c r="I58" s="47"/>
      <c r="J58" s="47"/>
      <c r="K58" s="47">
        <f t="shared" si="0"/>
        <v>42119</v>
      </c>
      <c r="L58" s="47">
        <v>0</v>
      </c>
      <c r="M58" s="47">
        <v>187</v>
      </c>
      <c r="N58" s="47" t="s">
        <v>16</v>
      </c>
      <c r="O58" s="47"/>
      <c r="P58" s="47"/>
      <c r="Q58" s="47"/>
      <c r="R58" s="47"/>
      <c r="S58" s="47"/>
      <c r="T58" s="318">
        <f t="shared" si="1"/>
        <v>42306</v>
      </c>
    </row>
    <row r="59" spans="1:20" ht="13.5" customHeight="1">
      <c r="A59" s="19" t="s">
        <v>191</v>
      </c>
      <c r="C59" s="47">
        <f>162144+9059+3000+225</f>
        <v>174428</v>
      </c>
      <c r="D59" s="47">
        <f>31000+20550+5837</f>
        <v>57387</v>
      </c>
      <c r="E59" s="47">
        <v>468</v>
      </c>
      <c r="F59" s="47">
        <f>134750-57387</f>
        <v>77363</v>
      </c>
      <c r="G59" s="47">
        <f>9568-468</f>
        <v>9100</v>
      </c>
      <c r="H59" s="47"/>
      <c r="I59" s="47">
        <v>1390</v>
      </c>
      <c r="J59" s="47"/>
      <c r="K59" s="47">
        <f t="shared" si="0"/>
        <v>320136</v>
      </c>
      <c r="L59" s="47">
        <v>39873</v>
      </c>
      <c r="M59" s="47">
        <v>1470</v>
      </c>
      <c r="N59" s="51">
        <f>309+425</f>
        <v>734</v>
      </c>
      <c r="O59" s="47"/>
      <c r="P59" s="47"/>
      <c r="Q59" s="47"/>
      <c r="R59" s="47"/>
      <c r="S59" s="47"/>
      <c r="T59" s="47">
        <f t="shared" si="1"/>
        <v>362213</v>
      </c>
    </row>
    <row r="60" spans="1:20" ht="13.5" customHeight="1">
      <c r="A60" s="19" t="s">
        <v>192</v>
      </c>
      <c r="C60" s="47">
        <f>447170+212141+2200+2871</f>
        <v>664382</v>
      </c>
      <c r="D60" s="47">
        <v>9600</v>
      </c>
      <c r="E60" s="47"/>
      <c r="F60" s="47">
        <f>11650-9600</f>
        <v>2050</v>
      </c>
      <c r="G60" s="47">
        <v>235395</v>
      </c>
      <c r="H60" s="47"/>
      <c r="I60" s="47">
        <v>355</v>
      </c>
      <c r="J60" s="47"/>
      <c r="K60" s="47">
        <f t="shared" si="0"/>
        <v>911782</v>
      </c>
      <c r="L60" s="47">
        <v>72661</v>
      </c>
      <c r="M60" s="47">
        <v>4970</v>
      </c>
      <c r="N60" s="47">
        <v>1238</v>
      </c>
      <c r="O60" s="47"/>
      <c r="P60" s="47"/>
      <c r="Q60" s="47"/>
      <c r="R60" s="47"/>
      <c r="S60" s="47"/>
      <c r="T60" s="47">
        <f>SUM(K60:S60)-1</f>
        <v>990650</v>
      </c>
    </row>
    <row r="61" spans="1:20" ht="13.5" customHeight="1">
      <c r="A61" s="19" t="s">
        <v>193</v>
      </c>
      <c r="C61" s="47">
        <f>109812+22213+900</f>
        <v>132925</v>
      </c>
      <c r="D61" s="47"/>
      <c r="E61" s="47"/>
      <c r="F61" s="47">
        <v>56000</v>
      </c>
      <c r="G61" s="47">
        <v>11000</v>
      </c>
      <c r="H61" s="47"/>
      <c r="I61" s="47">
        <v>70</v>
      </c>
      <c r="J61" s="47"/>
      <c r="K61" s="47">
        <f t="shared" si="0"/>
        <v>199995</v>
      </c>
      <c r="L61" s="47">
        <v>19243</v>
      </c>
      <c r="M61" s="47">
        <v>1039</v>
      </c>
      <c r="N61" s="47">
        <v>300</v>
      </c>
      <c r="O61" s="47"/>
      <c r="P61" s="47"/>
      <c r="Q61" s="47"/>
      <c r="R61" s="47"/>
      <c r="S61" s="47"/>
      <c r="T61" s="47">
        <f t="shared" si="1"/>
        <v>220577</v>
      </c>
    </row>
    <row r="62" spans="1:20" ht="13.5" customHeight="1">
      <c r="A62" s="19" t="s">
        <v>194</v>
      </c>
      <c r="C62" s="47">
        <f>107814+550</f>
        <v>108364</v>
      </c>
      <c r="D62" s="47"/>
      <c r="E62" s="47"/>
      <c r="F62" s="47">
        <v>7500</v>
      </c>
      <c r="G62" s="47">
        <v>2400</v>
      </c>
      <c r="H62" s="47"/>
      <c r="I62" s="47">
        <v>300</v>
      </c>
      <c r="J62" s="47"/>
      <c r="K62" s="47">
        <f t="shared" si="0"/>
        <v>118564</v>
      </c>
      <c r="L62" s="47">
        <v>23523</v>
      </c>
      <c r="M62" s="47">
        <v>0</v>
      </c>
      <c r="N62" s="47">
        <v>604</v>
      </c>
      <c r="O62" s="47"/>
      <c r="P62" s="47"/>
      <c r="Q62" s="47"/>
      <c r="R62" s="47"/>
      <c r="S62" s="47"/>
      <c r="T62" s="47">
        <f t="shared" si="1"/>
        <v>142691</v>
      </c>
    </row>
    <row r="63" spans="1:20" ht="13.5" customHeight="1">
      <c r="A63" s="19" t="s">
        <v>195</v>
      </c>
      <c r="C63" s="47">
        <f>397849-3797-19243-5702</f>
        <v>369107</v>
      </c>
      <c r="D63" s="47">
        <v>1600</v>
      </c>
      <c r="E63" s="47"/>
      <c r="F63" s="47">
        <v>46000</v>
      </c>
      <c r="G63" s="47">
        <v>26000</v>
      </c>
      <c r="H63" s="47"/>
      <c r="I63" s="47">
        <v>0</v>
      </c>
      <c r="J63" s="47"/>
      <c r="K63" s="47">
        <f t="shared" si="0"/>
        <v>442707</v>
      </c>
      <c r="L63" s="47">
        <v>19243</v>
      </c>
      <c r="M63" s="47">
        <v>3797</v>
      </c>
      <c r="N63" s="47">
        <v>5702</v>
      </c>
      <c r="O63" s="47"/>
      <c r="P63" s="47"/>
      <c r="Q63" s="47"/>
      <c r="R63" s="47"/>
      <c r="S63" s="47"/>
      <c r="T63" s="318">
        <f t="shared" si="1"/>
        <v>471449</v>
      </c>
    </row>
    <row r="64" spans="1:20" ht="13.5" customHeight="1">
      <c r="A64" s="19" t="s">
        <v>196</v>
      </c>
      <c r="C64" s="47"/>
      <c r="D64" s="47"/>
      <c r="E64" s="47"/>
      <c r="F64" s="47"/>
      <c r="G64" s="47"/>
      <c r="H64" s="47"/>
      <c r="I64" s="47"/>
      <c r="J64" s="47"/>
      <c r="K64" s="47">
        <f t="shared" si="0"/>
        <v>0</v>
      </c>
      <c r="L64" s="47"/>
      <c r="M64" s="47"/>
      <c r="N64" s="47"/>
      <c r="O64" s="47"/>
      <c r="P64" s="47"/>
      <c r="Q64" s="47"/>
      <c r="R64" s="47">
        <f>4465531-200000-40700+75600</f>
        <v>4300431</v>
      </c>
      <c r="S64" s="47"/>
      <c r="T64" s="47">
        <f t="shared" si="1"/>
        <v>4300431</v>
      </c>
    </row>
    <row r="65" spans="1:20" ht="13.5" customHeight="1">
      <c r="A65" s="19" t="s">
        <v>198</v>
      </c>
      <c r="C65" s="47"/>
      <c r="D65" s="47"/>
      <c r="E65" s="47"/>
      <c r="F65" s="47"/>
      <c r="G65" s="47"/>
      <c r="H65" s="47">
        <v>1766700</v>
      </c>
      <c r="I65" s="47">
        <v>0</v>
      </c>
      <c r="J65" s="47"/>
      <c r="K65" s="47">
        <f t="shared" si="0"/>
        <v>1766700</v>
      </c>
      <c r="L65" s="47"/>
      <c r="M65" s="47"/>
      <c r="N65" s="47" t="s">
        <v>16</v>
      </c>
      <c r="O65" s="47"/>
      <c r="P65" s="47"/>
      <c r="Q65" s="47"/>
      <c r="R65" s="47"/>
      <c r="S65" s="47"/>
      <c r="T65" s="47">
        <v>1766700</v>
      </c>
    </row>
    <row r="66" spans="3:20" ht="13.5" customHeight="1">
      <c r="C66" s="47"/>
      <c r="D66" s="47"/>
      <c r="E66" s="47"/>
      <c r="F66" s="47"/>
      <c r="G66" s="47"/>
      <c r="H66" s="47"/>
      <c r="I66" s="47"/>
      <c r="J66" s="47"/>
      <c r="K66" s="47">
        <f t="shared" si="0"/>
        <v>0</v>
      </c>
      <c r="L66" s="47"/>
      <c r="M66" s="47"/>
      <c r="N66" s="47"/>
      <c r="O66" s="47"/>
      <c r="P66" s="47"/>
      <c r="Q66" s="47"/>
      <c r="R66" s="47"/>
      <c r="S66" s="47"/>
      <c r="T66" s="47">
        <f t="shared" si="1"/>
        <v>0</v>
      </c>
    </row>
    <row r="67" spans="3:20" ht="13.5" customHeight="1">
      <c r="C67" s="47">
        <f>SUM(C6:C65)</f>
        <v>13338174</v>
      </c>
      <c r="D67" s="47">
        <f>SUM(D6:D65)</f>
        <v>517675</v>
      </c>
      <c r="E67" s="47">
        <f>SUM(E6:E65)</f>
        <v>225282</v>
      </c>
      <c r="F67" s="47">
        <f>SUM(F6:F65)</f>
        <v>1929126</v>
      </c>
      <c r="G67" s="47">
        <f>SUM(G6:G65)</f>
        <v>958170</v>
      </c>
      <c r="H67" s="47">
        <f>SUM(H6:H65)-H65</f>
        <v>149050</v>
      </c>
      <c r="I67" s="47">
        <f>SUM(I6:I65)-5000</f>
        <v>408517</v>
      </c>
      <c r="J67" s="51" t="s">
        <v>16</v>
      </c>
      <c r="K67" s="47">
        <f t="shared" si="0"/>
        <v>17525994</v>
      </c>
      <c r="L67" s="47">
        <f aca="true" t="shared" si="2" ref="L67:R67">SUM(L6:L65)</f>
        <v>3640747</v>
      </c>
      <c r="M67" s="47">
        <f t="shared" si="2"/>
        <v>145618</v>
      </c>
      <c r="N67" s="47">
        <f>SUM(N6:N65)</f>
        <v>698601</v>
      </c>
      <c r="O67" s="47">
        <f t="shared" si="2"/>
        <v>3308436</v>
      </c>
      <c r="P67" s="47">
        <f t="shared" si="2"/>
        <v>400000</v>
      </c>
      <c r="Q67" s="47">
        <f t="shared" si="2"/>
        <v>2228670</v>
      </c>
      <c r="R67" s="47">
        <f t="shared" si="2"/>
        <v>4300431</v>
      </c>
      <c r="S67" s="47" t="s">
        <v>16</v>
      </c>
      <c r="T67" s="47">
        <f t="shared" si="1"/>
        <v>32248497</v>
      </c>
    </row>
    <row r="68" spans="3:20" ht="13.5" customHeight="1">
      <c r="C68" s="47"/>
      <c r="D68" s="47"/>
      <c r="E68" s="47"/>
      <c r="F68" s="47"/>
      <c r="G68" s="47"/>
      <c r="H68" s="47"/>
      <c r="I68" s="51" t="s">
        <v>295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 t="s">
        <v>16</v>
      </c>
    </row>
    <row r="69" spans="1:20" ht="13.5" customHeight="1">
      <c r="A69" t="s">
        <v>285</v>
      </c>
      <c r="C69" s="318">
        <v>21466660</v>
      </c>
      <c r="D69" s="318">
        <v>820000</v>
      </c>
      <c r="E69" s="318"/>
      <c r="F69" s="318">
        <f>2556000+442000+673000+1622000-119601</f>
        <v>5173399</v>
      </c>
      <c r="G69" s="318">
        <v>803852</v>
      </c>
      <c r="H69" s="389">
        <f>357000+19185</f>
        <v>376185</v>
      </c>
      <c r="I69" s="318">
        <v>0</v>
      </c>
      <c r="J69" s="318"/>
      <c r="K69" s="318">
        <f t="shared" si="0"/>
        <v>28640096</v>
      </c>
      <c r="L69" s="390">
        <f>3096952+1491564</f>
        <v>4588516</v>
      </c>
      <c r="M69" s="390">
        <v>214449</v>
      </c>
      <c r="N69" s="390">
        <f>99300+50000</f>
        <v>149300</v>
      </c>
      <c r="O69" s="318"/>
      <c r="P69" s="318"/>
      <c r="Q69" s="318"/>
      <c r="R69" s="318"/>
      <c r="S69" s="318"/>
      <c r="T69" s="318">
        <f t="shared" si="1"/>
        <v>33592361</v>
      </c>
    </row>
    <row r="70" spans="3:20" ht="13.5" customHeight="1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51" t="s">
        <v>610</v>
      </c>
      <c r="S70" s="47"/>
      <c r="T70" s="47"/>
    </row>
    <row r="71" spans="1:20" ht="13.5" customHeight="1">
      <c r="A71" t="s">
        <v>303</v>
      </c>
      <c r="C71" s="47">
        <f aca="true" t="shared" si="3" ref="C71:I71">SUM(C67:C69)</f>
        <v>34804834</v>
      </c>
      <c r="D71" s="47">
        <f t="shared" si="3"/>
        <v>1337675</v>
      </c>
      <c r="E71" s="47">
        <f t="shared" si="3"/>
        <v>225282</v>
      </c>
      <c r="F71" s="47">
        <f t="shared" si="3"/>
        <v>7102525</v>
      </c>
      <c r="G71" s="47">
        <f t="shared" si="3"/>
        <v>1762022</v>
      </c>
      <c r="H71" s="47">
        <f t="shared" si="3"/>
        <v>525235</v>
      </c>
      <c r="I71" s="47">
        <f t="shared" si="3"/>
        <v>408517</v>
      </c>
      <c r="J71" s="47"/>
      <c r="K71" s="47">
        <f aca="true" t="shared" si="4" ref="K71:R71">SUM(K67:K69)</f>
        <v>46166090</v>
      </c>
      <c r="L71" s="47">
        <f t="shared" si="4"/>
        <v>8229263</v>
      </c>
      <c r="M71" s="47">
        <f t="shared" si="4"/>
        <v>360067</v>
      </c>
      <c r="N71" s="47">
        <f t="shared" si="4"/>
        <v>847901</v>
      </c>
      <c r="O71" s="47">
        <f t="shared" si="4"/>
        <v>3308436</v>
      </c>
      <c r="P71" s="47">
        <f t="shared" si="4"/>
        <v>400000</v>
      </c>
      <c r="Q71" s="47">
        <f t="shared" si="4"/>
        <v>2228670</v>
      </c>
      <c r="R71" s="47">
        <f t="shared" si="4"/>
        <v>4300431</v>
      </c>
      <c r="S71" s="47"/>
      <c r="T71" s="47">
        <f>SUM(T67:T69)</f>
        <v>65840858</v>
      </c>
    </row>
    <row r="72" ht="13.5" customHeight="1">
      <c r="R72" t="s">
        <v>16</v>
      </c>
    </row>
    <row r="73" spans="1:20" ht="13.5" customHeight="1">
      <c r="A73" t="s">
        <v>607</v>
      </c>
      <c r="C73">
        <v>795651</v>
      </c>
      <c r="D73">
        <f>4000+9000+1727410</f>
        <v>1740410</v>
      </c>
      <c r="E73">
        <f>6600+5500</f>
        <v>12100</v>
      </c>
      <c r="F73">
        <f>90800+101606-4000-9000+10000</f>
        <v>189406</v>
      </c>
      <c r="G73">
        <f>6850+75000-6600-5500</f>
        <v>69750</v>
      </c>
      <c r="H73">
        <f>969822+3200</f>
        <v>973022</v>
      </c>
      <c r="I73">
        <f>3000+5400</f>
        <v>8400</v>
      </c>
      <c r="K73" s="47">
        <f>SUM(C73:I73)</f>
        <v>3788739</v>
      </c>
      <c r="L73">
        <f>14951+172902</f>
        <v>187853</v>
      </c>
      <c r="M73">
        <f>1600+6960</f>
        <v>8560</v>
      </c>
      <c r="N73">
        <f>9765+230</f>
        <v>9995</v>
      </c>
      <c r="O73">
        <v>137072</v>
      </c>
      <c r="P73">
        <v>25000</v>
      </c>
      <c r="R73" s="51">
        <v>65000</v>
      </c>
      <c r="T73" s="47">
        <f>SUM(K73:S73)</f>
        <v>4222219</v>
      </c>
    </row>
    <row r="74" spans="1:20" ht="13.5" customHeight="1">
      <c r="A74" t="s">
        <v>180</v>
      </c>
      <c r="C74">
        <v>552691</v>
      </c>
      <c r="D74">
        <f>1640+3556210</f>
        <v>3557850</v>
      </c>
      <c r="F74">
        <f>76453-1640+43353</f>
        <v>118166</v>
      </c>
      <c r="G74">
        <f>14780+49297</f>
        <v>64077</v>
      </c>
      <c r="H74">
        <v>157900</v>
      </c>
      <c r="K74" s="47">
        <f>SUM(C74:I74)</f>
        <v>4450684</v>
      </c>
      <c r="L74">
        <f>13556+109843</f>
        <v>123399</v>
      </c>
      <c r="M74">
        <f>3400+724</f>
        <v>4124</v>
      </c>
      <c r="N74">
        <f>12374+7035</f>
        <v>19409</v>
      </c>
      <c r="O74">
        <v>190712</v>
      </c>
      <c r="P74">
        <v>25000</v>
      </c>
      <c r="R74">
        <v>280000</v>
      </c>
      <c r="T74" s="47">
        <f>SUM(K74:S74)</f>
        <v>5093328</v>
      </c>
    </row>
    <row r="75" spans="1:20" ht="13.5" customHeight="1">
      <c r="A75" t="s">
        <v>608</v>
      </c>
      <c r="K75" s="47">
        <f>SUM(C75:I75)</f>
        <v>0</v>
      </c>
      <c r="T75" s="47">
        <f>SUM(K75:S75)</f>
        <v>0</v>
      </c>
    </row>
    <row r="76" spans="1:20" ht="13.5" customHeight="1">
      <c r="A76" t="s">
        <v>609</v>
      </c>
      <c r="H76">
        <v>324429</v>
      </c>
      <c r="K76" s="47">
        <f>SUM(C76:I76)</f>
        <v>324429</v>
      </c>
      <c r="T76" s="47">
        <f>SUM(K76:S76)</f>
        <v>324429</v>
      </c>
    </row>
  </sheetData>
  <printOptions/>
  <pageMargins left="0.75" right="0.75" top="1" bottom="1" header="0.5" footer="0.5"/>
  <pageSetup fitToHeight="1" fitToWidth="1" horizontalDpi="300" verticalDpi="300" orientation="landscape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1" sqref="A1:IV16384"/>
    </sheetView>
  </sheetViews>
  <sheetFormatPr defaultColWidth="9.140625" defaultRowHeight="12.75"/>
  <cols>
    <col min="1" max="1" width="34.140625" style="0" customWidth="1"/>
    <col min="2" max="2" width="14.00390625" style="163" bestFit="1" customWidth="1"/>
    <col min="3" max="3" width="13.28125" style="163" bestFit="1" customWidth="1"/>
    <col min="4" max="4" width="13.00390625" style="163" bestFit="1" customWidth="1"/>
    <col min="5" max="5" width="12.57421875" style="163" bestFit="1" customWidth="1"/>
    <col min="6" max="6" width="12.7109375" style="163" bestFit="1" customWidth="1"/>
    <col min="7" max="7" width="12.28125" style="163" bestFit="1" customWidth="1"/>
    <col min="8" max="8" width="13.28125" style="163" bestFit="1" customWidth="1"/>
    <col min="9" max="10" width="12.28125" style="0" bestFit="1" customWidth="1"/>
    <col min="11" max="11" width="14.00390625" style="0" bestFit="1" customWidth="1"/>
  </cols>
  <sheetData>
    <row r="1" spans="1:13" ht="12.75">
      <c r="A1" t="s">
        <v>591</v>
      </c>
      <c r="G1" s="165" t="s">
        <v>592</v>
      </c>
      <c r="L1" s="441" t="s">
        <v>593</v>
      </c>
      <c r="M1" s="441"/>
    </row>
    <row r="2" spans="12:13" ht="12.75">
      <c r="L2" s="442">
        <v>10500</v>
      </c>
      <c r="M2" s="441"/>
    </row>
    <row r="3" spans="2:11" ht="12.75">
      <c r="B3" s="163" t="s">
        <v>101</v>
      </c>
      <c r="C3" s="163" t="s">
        <v>102</v>
      </c>
      <c r="D3" s="163" t="s">
        <v>103</v>
      </c>
      <c r="E3" s="163" t="s">
        <v>104</v>
      </c>
      <c r="F3" s="163" t="s">
        <v>105</v>
      </c>
      <c r="G3" s="163" t="s">
        <v>106</v>
      </c>
      <c r="H3" s="163" t="s">
        <v>272</v>
      </c>
      <c r="I3" s="165" t="s">
        <v>331</v>
      </c>
      <c r="J3" s="165" t="s">
        <v>594</v>
      </c>
      <c r="K3" s="165" t="s">
        <v>595</v>
      </c>
    </row>
    <row r="5" spans="1:6" ht="12.75">
      <c r="A5" t="s">
        <v>596</v>
      </c>
      <c r="B5" s="163">
        <v>1365240</v>
      </c>
      <c r="C5" s="163">
        <v>1406220</v>
      </c>
      <c r="D5" s="163">
        <v>1448400</v>
      </c>
      <c r="E5" s="163">
        <v>1496880</v>
      </c>
      <c r="F5" s="163">
        <v>1519980</v>
      </c>
    </row>
    <row r="6" spans="1:5" ht="12.75">
      <c r="A6" t="s">
        <v>275</v>
      </c>
      <c r="B6" s="163">
        <v>1188000</v>
      </c>
      <c r="C6" s="163">
        <v>1188000</v>
      </c>
      <c r="D6" s="163">
        <v>1163028</v>
      </c>
      <c r="E6" s="165">
        <v>1205200</v>
      </c>
    </row>
    <row r="7" spans="1:11" ht="12.75">
      <c r="A7" t="s">
        <v>276</v>
      </c>
      <c r="G7" s="163">
        <v>1541760</v>
      </c>
      <c r="H7" s="163">
        <v>1588020</v>
      </c>
      <c r="I7" s="165">
        <v>1635600</v>
      </c>
      <c r="J7" s="165">
        <v>1684680</v>
      </c>
      <c r="K7" s="165">
        <v>1735200</v>
      </c>
    </row>
    <row r="8" spans="1:10" ht="12.75">
      <c r="A8" t="s">
        <v>597</v>
      </c>
      <c r="F8" s="163">
        <v>672000</v>
      </c>
      <c r="G8" s="163">
        <v>714000</v>
      </c>
      <c r="H8" s="163">
        <v>729750</v>
      </c>
      <c r="I8" s="165">
        <v>750750</v>
      </c>
      <c r="J8" s="165">
        <v>766500</v>
      </c>
    </row>
    <row r="9" spans="1:10" ht="12.75">
      <c r="A9" t="s">
        <v>277</v>
      </c>
      <c r="B9" s="163">
        <v>15000</v>
      </c>
      <c r="C9" s="163">
        <v>15000</v>
      </c>
      <c r="D9" s="163">
        <v>15000</v>
      </c>
      <c r="E9" s="163">
        <v>15000</v>
      </c>
      <c r="F9" s="163">
        <v>15000</v>
      </c>
      <c r="G9" s="163">
        <v>15000</v>
      </c>
      <c r="H9" s="163">
        <v>16000</v>
      </c>
      <c r="I9" s="165">
        <v>16000</v>
      </c>
      <c r="J9" s="165">
        <v>17000</v>
      </c>
    </row>
    <row r="10" spans="1:10" ht="12.75">
      <c r="A10" t="s">
        <v>278</v>
      </c>
      <c r="D10" s="163">
        <v>16530</v>
      </c>
      <c r="E10" s="163">
        <v>16530</v>
      </c>
      <c r="F10" s="163">
        <v>16530</v>
      </c>
      <c r="G10" s="163">
        <v>16530</v>
      </c>
      <c r="H10" s="163">
        <v>17000</v>
      </c>
      <c r="I10" s="165">
        <v>17000</v>
      </c>
      <c r="J10" s="165">
        <v>18000</v>
      </c>
    </row>
    <row r="11" spans="1:11" ht="12.75">
      <c r="A11" t="s">
        <v>218</v>
      </c>
      <c r="B11" s="163">
        <f>SUM(B5:B10)</f>
        <v>2568240</v>
      </c>
      <c r="C11" s="163">
        <f aca="true" t="shared" si="0" ref="C11:H11">SUM(C5:C10)</f>
        <v>2609220</v>
      </c>
      <c r="D11" s="163">
        <f t="shared" si="0"/>
        <v>2642958</v>
      </c>
      <c r="E11" s="163">
        <f t="shared" si="0"/>
        <v>2733610</v>
      </c>
      <c r="F11" s="163">
        <f t="shared" si="0"/>
        <v>2223510</v>
      </c>
      <c r="G11" s="163">
        <f t="shared" si="0"/>
        <v>2287290</v>
      </c>
      <c r="H11" s="163">
        <f t="shared" si="0"/>
        <v>2350770</v>
      </c>
      <c r="I11" s="165">
        <f>SUM(I5:I10)</f>
        <v>2419350</v>
      </c>
      <c r="J11" s="165">
        <f>SUM(J5:J10)</f>
        <v>2486180</v>
      </c>
      <c r="K11" s="165">
        <f>SUM(K5:K10)</f>
        <v>1735200</v>
      </c>
    </row>
    <row r="13" ht="12.75">
      <c r="A13" t="s">
        <v>279</v>
      </c>
    </row>
    <row r="14" ht="12.75">
      <c r="A14" t="s">
        <v>598</v>
      </c>
    </row>
    <row r="15" ht="12.75">
      <c r="A15" t="s">
        <v>280</v>
      </c>
    </row>
    <row r="16" ht="12.75">
      <c r="A16" t="s">
        <v>281</v>
      </c>
    </row>
    <row r="17" ht="12.75">
      <c r="A17" t="s">
        <v>282</v>
      </c>
    </row>
    <row r="18" ht="12.75">
      <c r="A18" t="s">
        <v>283</v>
      </c>
    </row>
  </sheetData>
  <mergeCells count="2">
    <mergeCell ref="L1:M1"/>
    <mergeCell ref="L2:M2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view="pageBreakPreview" zoomScale="60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9" sqref="E69"/>
    </sheetView>
  </sheetViews>
  <sheetFormatPr defaultColWidth="9.140625" defaultRowHeight="13.5" customHeight="1"/>
  <cols>
    <col min="1" max="1" width="16.00390625" style="0" customWidth="1"/>
    <col min="2" max="2" width="11.140625" style="0" customWidth="1"/>
    <col min="3" max="3" width="13.57421875" style="0" customWidth="1"/>
    <col min="4" max="5" width="12.28125" style="0" customWidth="1"/>
    <col min="6" max="6" width="14.421875" style="0" customWidth="1"/>
    <col min="7" max="7" width="13.421875" style="0" customWidth="1"/>
    <col min="8" max="9" width="11.28125" style="0" customWidth="1"/>
    <col min="10" max="10" width="3.140625" style="0" customWidth="1"/>
    <col min="11" max="11" width="11.28125" style="0" customWidth="1"/>
    <col min="12" max="12" width="12.28125" style="0" customWidth="1"/>
    <col min="13" max="13" width="12.8515625" style="0" customWidth="1"/>
    <col min="14" max="14" width="13.140625" style="0" customWidth="1"/>
    <col min="15" max="15" width="12.57421875" style="0" customWidth="1"/>
    <col min="16" max="16" width="12.00390625" style="0" customWidth="1"/>
    <col min="17" max="18" width="12.57421875" style="0" customWidth="1"/>
    <col min="19" max="19" width="12.8515625" style="0" customWidth="1"/>
    <col min="20" max="20" width="4.00390625" style="0" customWidth="1"/>
    <col min="21" max="21" width="15.00390625" style="0" customWidth="1"/>
  </cols>
  <sheetData>
    <row r="2" spans="1:12" ht="13.5" customHeight="1">
      <c r="A2" t="s">
        <v>379</v>
      </c>
      <c r="L2" t="s">
        <v>295</v>
      </c>
    </row>
    <row r="3" spans="5:21" s="43" customFormat="1" ht="13.5" customHeight="1">
      <c r="E3" s="43" t="s">
        <v>500</v>
      </c>
      <c r="F3" s="43" t="s">
        <v>134</v>
      </c>
      <c r="K3" s="43" t="s">
        <v>204</v>
      </c>
      <c r="L3" s="43" t="s">
        <v>16</v>
      </c>
      <c r="N3" s="43" t="s">
        <v>200</v>
      </c>
      <c r="P3" s="43" t="s">
        <v>202</v>
      </c>
      <c r="R3" s="43" t="s">
        <v>181</v>
      </c>
      <c r="U3" s="43" t="s">
        <v>139</v>
      </c>
    </row>
    <row r="4" spans="3:21" s="43" customFormat="1" ht="13.5" customHeight="1">
      <c r="C4" s="44" t="s">
        <v>141</v>
      </c>
      <c r="D4" s="44" t="s">
        <v>133</v>
      </c>
      <c r="E4" s="44" t="s">
        <v>136</v>
      </c>
      <c r="F4" s="44" t="s">
        <v>135</v>
      </c>
      <c r="G4" s="44" t="s">
        <v>136</v>
      </c>
      <c r="H4" s="44" t="s">
        <v>137</v>
      </c>
      <c r="I4" s="44" t="s">
        <v>138</v>
      </c>
      <c r="K4" s="44" t="s">
        <v>139</v>
      </c>
      <c r="L4" s="44" t="s">
        <v>129</v>
      </c>
      <c r="M4" s="44" t="s">
        <v>140</v>
      </c>
      <c r="N4" s="44" t="s">
        <v>201</v>
      </c>
      <c r="O4" s="44" t="s">
        <v>154</v>
      </c>
      <c r="P4" s="44" t="s">
        <v>203</v>
      </c>
      <c r="Q4" s="44" t="s">
        <v>180</v>
      </c>
      <c r="R4" s="44" t="s">
        <v>182</v>
      </c>
      <c r="S4" s="44" t="s">
        <v>197</v>
      </c>
      <c r="U4" s="43" t="s">
        <v>379</v>
      </c>
    </row>
    <row r="5" spans="1:11" ht="13.5" customHeight="1">
      <c r="A5" s="19" t="s">
        <v>16</v>
      </c>
      <c r="K5" t="s">
        <v>16</v>
      </c>
    </row>
    <row r="6" spans="1:21" ht="13.5" customHeight="1">
      <c r="A6" s="19" t="s">
        <v>142</v>
      </c>
      <c r="C6" s="47">
        <v>200</v>
      </c>
      <c r="D6" s="47"/>
      <c r="E6" s="47"/>
      <c r="F6" s="47">
        <v>11000</v>
      </c>
      <c r="G6" s="47"/>
      <c r="H6" s="47"/>
      <c r="I6" s="47"/>
      <c r="J6" s="47"/>
      <c r="K6" s="47">
        <f aca="true" t="shared" si="0" ref="K6:K69">SUM(C6:I6)</f>
        <v>11200</v>
      </c>
      <c r="L6" s="47"/>
      <c r="M6" s="47"/>
      <c r="N6" s="47"/>
      <c r="O6" s="47"/>
      <c r="P6" s="47"/>
      <c r="Q6" s="47"/>
      <c r="R6" s="47"/>
      <c r="S6" s="47"/>
      <c r="T6" s="47"/>
      <c r="U6" s="47">
        <f>SUM(K6:T6)</f>
        <v>11200</v>
      </c>
    </row>
    <row r="7" spans="1:21" ht="13.5" customHeight="1">
      <c r="A7" s="19" t="s">
        <v>143</v>
      </c>
      <c r="C7" s="47">
        <v>60196</v>
      </c>
      <c r="D7" s="47"/>
      <c r="E7" s="47"/>
      <c r="F7" s="47">
        <v>63475</v>
      </c>
      <c r="G7" s="47">
        <v>1300</v>
      </c>
      <c r="H7" s="47"/>
      <c r="I7" s="47">
        <v>823</v>
      </c>
      <c r="J7" s="47"/>
      <c r="K7" s="47">
        <f t="shared" si="0"/>
        <v>125794</v>
      </c>
      <c r="L7" s="47">
        <v>12050</v>
      </c>
      <c r="M7" s="47"/>
      <c r="N7" s="47">
        <v>960</v>
      </c>
      <c r="O7" s="47"/>
      <c r="P7" s="47"/>
      <c r="Q7" s="47"/>
      <c r="R7" s="47"/>
      <c r="S7" s="47"/>
      <c r="T7" s="47"/>
      <c r="U7" s="47">
        <f aca="true" t="shared" si="1" ref="U7:U69">SUM(K7:T7)</f>
        <v>138804</v>
      </c>
    </row>
    <row r="8" spans="1:21" ht="13.5" customHeight="1">
      <c r="A8" s="19" t="s">
        <v>144</v>
      </c>
      <c r="C8" s="47">
        <v>112039</v>
      </c>
      <c r="D8" s="47"/>
      <c r="E8" s="47"/>
      <c r="F8" s="47">
        <v>1990</v>
      </c>
      <c r="G8" s="47">
        <v>1950</v>
      </c>
      <c r="H8" s="47"/>
      <c r="I8" s="47">
        <v>900</v>
      </c>
      <c r="J8" s="47"/>
      <c r="K8" s="47">
        <f t="shared" si="0"/>
        <v>116879</v>
      </c>
      <c r="L8" s="47">
        <v>6288</v>
      </c>
      <c r="M8" s="47">
        <v>325</v>
      </c>
      <c r="N8" s="47">
        <v>519</v>
      </c>
      <c r="O8" s="47"/>
      <c r="P8" s="47"/>
      <c r="Q8" s="47"/>
      <c r="R8" s="47"/>
      <c r="S8" s="47"/>
      <c r="T8" s="47"/>
      <c r="U8" s="47">
        <f t="shared" si="1"/>
        <v>124011</v>
      </c>
    </row>
    <row r="9" spans="1:21" ht="13.5" customHeight="1">
      <c r="A9" s="19" t="s">
        <v>145</v>
      </c>
      <c r="C9" s="47">
        <f>35706+14000+600</f>
        <v>50306</v>
      </c>
      <c r="D9" s="47"/>
      <c r="E9" s="47"/>
      <c r="F9" s="47">
        <v>0</v>
      </c>
      <c r="G9" s="47">
        <v>500</v>
      </c>
      <c r="H9" s="47"/>
      <c r="I9" s="47">
        <v>6730</v>
      </c>
      <c r="J9" s="47"/>
      <c r="K9" s="47">
        <f t="shared" si="0"/>
        <v>57536</v>
      </c>
      <c r="L9" s="47">
        <v>33584</v>
      </c>
      <c r="M9" s="47"/>
      <c r="N9" s="47">
        <v>225</v>
      </c>
      <c r="O9" s="47"/>
      <c r="P9" s="47"/>
      <c r="Q9" s="47"/>
      <c r="R9" s="47"/>
      <c r="S9" s="47"/>
      <c r="T9" s="47"/>
      <c r="U9" s="47">
        <f t="shared" si="1"/>
        <v>91345</v>
      </c>
    </row>
    <row r="10" spans="1:21" ht="13.5" customHeight="1">
      <c r="A10" s="19" t="s">
        <v>302</v>
      </c>
      <c r="C10" s="47"/>
      <c r="D10" s="47"/>
      <c r="E10" s="47"/>
      <c r="F10" s="47"/>
      <c r="G10" s="47"/>
      <c r="H10" s="47"/>
      <c r="I10" s="47">
        <v>0</v>
      </c>
      <c r="J10" s="47"/>
      <c r="K10" s="47">
        <f t="shared" si="0"/>
        <v>0</v>
      </c>
      <c r="L10" s="47"/>
      <c r="M10" s="47"/>
      <c r="N10" s="47"/>
      <c r="O10" s="47"/>
      <c r="P10" s="47"/>
      <c r="Q10" s="47"/>
      <c r="R10" s="47"/>
      <c r="S10" s="47"/>
      <c r="T10" s="47"/>
      <c r="U10" s="47">
        <f t="shared" si="1"/>
        <v>0</v>
      </c>
    </row>
    <row r="11" spans="1:21" ht="13.5" customHeight="1">
      <c r="A11" s="19" t="s">
        <v>146</v>
      </c>
      <c r="C11" s="47">
        <v>2000</v>
      </c>
      <c r="D11" s="47"/>
      <c r="E11" s="47"/>
      <c r="F11" s="47">
        <v>20200</v>
      </c>
      <c r="G11" s="47"/>
      <c r="H11" s="47"/>
      <c r="I11" s="47"/>
      <c r="J11" s="47"/>
      <c r="K11" s="47">
        <f t="shared" si="0"/>
        <v>22200</v>
      </c>
      <c r="L11" s="47"/>
      <c r="M11" s="47"/>
      <c r="N11" s="47"/>
      <c r="O11" s="47"/>
      <c r="P11" s="47"/>
      <c r="Q11" s="47"/>
      <c r="R11" s="47"/>
      <c r="S11" s="47"/>
      <c r="T11" s="47"/>
      <c r="U11" s="47">
        <f t="shared" si="1"/>
        <v>22200</v>
      </c>
    </row>
    <row r="12" spans="1:21" ht="13.5" customHeight="1">
      <c r="A12" s="19" t="s">
        <v>147</v>
      </c>
      <c r="C12" s="47">
        <v>16128</v>
      </c>
      <c r="D12" s="47"/>
      <c r="E12" s="47"/>
      <c r="F12" s="47">
        <v>200</v>
      </c>
      <c r="G12" s="47">
        <v>1500</v>
      </c>
      <c r="H12" s="47"/>
      <c r="I12" s="47"/>
      <c r="J12" s="47"/>
      <c r="K12" s="47">
        <f t="shared" si="0"/>
        <v>17828</v>
      </c>
      <c r="L12" s="47"/>
      <c r="M12" s="47"/>
      <c r="N12" s="47"/>
      <c r="O12" s="47"/>
      <c r="P12" s="47"/>
      <c r="Q12" s="47"/>
      <c r="R12" s="47"/>
      <c r="S12" s="47"/>
      <c r="T12" s="47"/>
      <c r="U12" s="47">
        <f t="shared" si="1"/>
        <v>17828</v>
      </c>
    </row>
    <row r="13" spans="1:21" ht="13.5" customHeight="1">
      <c r="A13" s="19" t="s">
        <v>148</v>
      </c>
      <c r="C13" s="47">
        <v>199086</v>
      </c>
      <c r="D13" s="47">
        <v>1100</v>
      </c>
      <c r="E13" s="47"/>
      <c r="F13" s="51">
        <v>34000</v>
      </c>
      <c r="G13" s="47">
        <v>2100</v>
      </c>
      <c r="H13" s="47"/>
      <c r="I13" s="47">
        <v>5600</v>
      </c>
      <c r="J13" s="47"/>
      <c r="K13" s="47">
        <f t="shared" si="0"/>
        <v>241886</v>
      </c>
      <c r="L13" s="47">
        <v>12050</v>
      </c>
      <c r="M13" s="47">
        <v>3050</v>
      </c>
      <c r="N13" s="51">
        <v>914</v>
      </c>
      <c r="O13" s="47"/>
      <c r="P13" s="47"/>
      <c r="Q13" s="47"/>
      <c r="R13" s="47"/>
      <c r="S13" s="47"/>
      <c r="T13" s="47"/>
      <c r="U13" s="47">
        <f t="shared" si="1"/>
        <v>257900</v>
      </c>
    </row>
    <row r="14" spans="1:21" ht="13.5" customHeight="1">
      <c r="A14" s="19" t="s">
        <v>306</v>
      </c>
      <c r="C14" s="47">
        <v>114771</v>
      </c>
      <c r="D14" s="47"/>
      <c r="E14" s="47"/>
      <c r="F14" s="51">
        <v>23450</v>
      </c>
      <c r="G14" s="47">
        <v>12240</v>
      </c>
      <c r="H14" s="47"/>
      <c r="I14" s="47">
        <v>2750</v>
      </c>
      <c r="J14" s="47"/>
      <c r="K14" s="47">
        <f t="shared" si="0"/>
        <v>153211</v>
      </c>
      <c r="L14" s="47">
        <v>16480</v>
      </c>
      <c r="M14" s="47">
        <v>1424</v>
      </c>
      <c r="N14" s="51">
        <v>532</v>
      </c>
      <c r="O14" s="47"/>
      <c r="P14" s="47"/>
      <c r="Q14" s="47"/>
      <c r="R14" s="47"/>
      <c r="S14" s="47"/>
      <c r="T14" s="47"/>
      <c r="U14" s="47">
        <f t="shared" si="1"/>
        <v>171647</v>
      </c>
    </row>
    <row r="15" spans="1:21" ht="13.5" customHeight="1">
      <c r="A15" s="19" t="s">
        <v>131</v>
      </c>
      <c r="C15" s="47">
        <v>130956</v>
      </c>
      <c r="D15" s="47"/>
      <c r="E15" s="47"/>
      <c r="F15" s="47">
        <v>26700</v>
      </c>
      <c r="G15" s="47">
        <v>1255</v>
      </c>
      <c r="H15" s="47">
        <v>0</v>
      </c>
      <c r="I15" s="47">
        <v>2046</v>
      </c>
      <c r="J15" s="47"/>
      <c r="K15" s="47">
        <f t="shared" si="0"/>
        <v>160957</v>
      </c>
      <c r="L15" s="47">
        <v>24099</v>
      </c>
      <c r="M15" s="47">
        <v>1469</v>
      </c>
      <c r="N15" s="47">
        <v>607</v>
      </c>
      <c r="O15" s="47"/>
      <c r="P15" s="47"/>
      <c r="Q15" s="47"/>
      <c r="R15" s="47"/>
      <c r="S15" s="47"/>
      <c r="T15" s="47"/>
      <c r="U15" s="47">
        <f t="shared" si="1"/>
        <v>187132</v>
      </c>
    </row>
    <row r="16" spans="1:21" ht="13.5" customHeight="1">
      <c r="A16" s="19" t="s">
        <v>149</v>
      </c>
      <c r="C16" s="47"/>
      <c r="D16" s="47"/>
      <c r="E16" s="47"/>
      <c r="F16" s="47">
        <f>275000+50000+34000</f>
        <v>359000</v>
      </c>
      <c r="G16" s="47"/>
      <c r="H16" s="47"/>
      <c r="I16" s="47">
        <v>5000</v>
      </c>
      <c r="J16" s="47"/>
      <c r="K16" s="47">
        <f t="shared" si="0"/>
        <v>364000</v>
      </c>
      <c r="L16" s="47"/>
      <c r="M16" s="47"/>
      <c r="N16" s="47"/>
      <c r="O16" s="47"/>
      <c r="P16" s="47"/>
      <c r="Q16" s="47"/>
      <c r="R16" s="47"/>
      <c r="S16" s="47"/>
      <c r="T16" s="47"/>
      <c r="U16" s="47">
        <f t="shared" si="1"/>
        <v>364000</v>
      </c>
    </row>
    <row r="17" spans="1:21" ht="13.5" customHeight="1">
      <c r="A17" s="19" t="s">
        <v>150</v>
      </c>
      <c r="C17" s="47">
        <f>136445+5000</f>
        <v>141445</v>
      </c>
      <c r="D17" s="47">
        <v>350</v>
      </c>
      <c r="E17" s="47"/>
      <c r="F17" s="47">
        <v>57800</v>
      </c>
      <c r="G17" s="47">
        <v>2200</v>
      </c>
      <c r="H17" s="47"/>
      <c r="I17" s="47">
        <v>11950</v>
      </c>
      <c r="J17" s="47"/>
      <c r="K17" s="47">
        <f t="shared" si="0"/>
        <v>213745</v>
      </c>
      <c r="L17" s="47">
        <v>20910</v>
      </c>
      <c r="M17" s="47">
        <v>1497</v>
      </c>
      <c r="N17" s="47">
        <v>646</v>
      </c>
      <c r="O17" s="47"/>
      <c r="P17" s="47"/>
      <c r="Q17" s="47"/>
      <c r="R17" s="47"/>
      <c r="S17" s="47"/>
      <c r="T17" s="47"/>
      <c r="U17" s="47">
        <f t="shared" si="1"/>
        <v>236798</v>
      </c>
    </row>
    <row r="18" spans="1:21" ht="13.5" customHeight="1">
      <c r="A18" s="19" t="s">
        <v>151</v>
      </c>
      <c r="C18" s="47">
        <v>201187</v>
      </c>
      <c r="D18" s="47"/>
      <c r="E18" s="47"/>
      <c r="F18" s="47">
        <v>78834</v>
      </c>
      <c r="G18" s="47">
        <v>4000</v>
      </c>
      <c r="H18" s="47"/>
      <c r="I18" s="47">
        <v>7283</v>
      </c>
      <c r="J18" s="47"/>
      <c r="K18" s="47">
        <f t="shared" si="0"/>
        <v>291304</v>
      </c>
      <c r="L18" s="47">
        <v>33779</v>
      </c>
      <c r="M18" s="47">
        <v>2705</v>
      </c>
      <c r="N18" s="47">
        <f>550+932</f>
        <v>1482</v>
      </c>
      <c r="O18" s="47"/>
      <c r="P18" s="47"/>
      <c r="Q18" s="47"/>
      <c r="R18" s="47"/>
      <c r="S18" s="47"/>
      <c r="T18" s="47"/>
      <c r="U18" s="47">
        <f t="shared" si="1"/>
        <v>329270</v>
      </c>
    </row>
    <row r="19" spans="1:21" ht="13.5" customHeight="1">
      <c r="A19" s="19" t="s">
        <v>152</v>
      </c>
      <c r="C19" s="47">
        <f>70980+201090+65454</f>
        <v>337524</v>
      </c>
      <c r="D19" s="47"/>
      <c r="E19" s="47"/>
      <c r="F19" s="51">
        <v>106011</v>
      </c>
      <c r="G19" s="47">
        <v>8525</v>
      </c>
      <c r="H19" s="47"/>
      <c r="I19" s="47">
        <v>6200</v>
      </c>
      <c r="J19" s="47"/>
      <c r="K19" s="47">
        <f t="shared" si="0"/>
        <v>458260</v>
      </c>
      <c r="L19" s="47">
        <v>49439</v>
      </c>
      <c r="M19" s="47">
        <v>3076</v>
      </c>
      <c r="N19" s="47">
        <f>1246+1569</f>
        <v>2815</v>
      </c>
      <c r="O19" s="47"/>
      <c r="P19" s="47"/>
      <c r="Q19" s="47"/>
      <c r="R19" s="47"/>
      <c r="S19" s="47"/>
      <c r="T19" s="47"/>
      <c r="U19" s="47">
        <f>SUM(K19:T19)-2</f>
        <v>513588</v>
      </c>
    </row>
    <row r="20" spans="1:21" ht="13.5" customHeight="1">
      <c r="A20" s="19" t="s">
        <v>153</v>
      </c>
      <c r="C20" s="47">
        <v>3000</v>
      </c>
      <c r="D20" s="47"/>
      <c r="E20" s="47"/>
      <c r="F20" s="47">
        <f>30000+11000</f>
        <v>41000</v>
      </c>
      <c r="G20" s="47">
        <v>0</v>
      </c>
      <c r="H20" s="47"/>
      <c r="I20" s="47"/>
      <c r="J20" s="47"/>
      <c r="K20" s="47">
        <f t="shared" si="0"/>
        <v>44000</v>
      </c>
      <c r="L20" s="47">
        <v>0</v>
      </c>
      <c r="M20" s="47">
        <v>0</v>
      </c>
      <c r="N20" s="47">
        <v>14</v>
      </c>
      <c r="O20" s="47"/>
      <c r="P20" s="47"/>
      <c r="Q20" s="47"/>
      <c r="R20" s="47"/>
      <c r="S20" s="47"/>
      <c r="T20" s="47"/>
      <c r="U20" s="47">
        <f t="shared" si="1"/>
        <v>44014</v>
      </c>
    </row>
    <row r="21" spans="1:21" ht="13.5" customHeight="1">
      <c r="A21" s="19" t="s">
        <v>155</v>
      </c>
      <c r="C21" s="47"/>
      <c r="D21" s="47"/>
      <c r="E21" s="47"/>
      <c r="F21" s="47"/>
      <c r="G21" s="47"/>
      <c r="H21" s="47"/>
      <c r="I21" s="47"/>
      <c r="J21" s="47"/>
      <c r="K21" s="47">
        <f t="shared" si="0"/>
        <v>0</v>
      </c>
      <c r="L21" s="47"/>
      <c r="M21" s="47"/>
      <c r="N21" s="47"/>
      <c r="O21" s="47"/>
      <c r="P21" s="47">
        <v>400000</v>
      </c>
      <c r="Q21" s="47"/>
      <c r="R21" s="47"/>
      <c r="S21" s="47"/>
      <c r="T21" s="47"/>
      <c r="U21" s="47">
        <f t="shared" si="1"/>
        <v>400000</v>
      </c>
    </row>
    <row r="22" spans="1:21" ht="13.5" customHeight="1">
      <c r="A22" s="19" t="s">
        <v>154</v>
      </c>
      <c r="C22" s="47"/>
      <c r="D22" s="47"/>
      <c r="E22" s="47"/>
      <c r="F22" s="47"/>
      <c r="G22" s="47"/>
      <c r="H22" s="47"/>
      <c r="I22" s="47"/>
      <c r="J22" s="47"/>
      <c r="K22" s="47">
        <f t="shared" si="0"/>
        <v>0</v>
      </c>
      <c r="L22" s="47"/>
      <c r="M22" s="47"/>
      <c r="N22" s="47"/>
      <c r="O22" s="47">
        <v>3024170</v>
      </c>
      <c r="P22" s="47"/>
      <c r="Q22" s="47"/>
      <c r="R22" s="47"/>
      <c r="S22" s="47"/>
      <c r="T22" s="47"/>
      <c r="U22" s="47">
        <f t="shared" si="1"/>
        <v>3024170</v>
      </c>
    </row>
    <row r="23" spans="1:21" ht="13.5" customHeight="1">
      <c r="A23" s="19" t="s">
        <v>199</v>
      </c>
      <c r="C23" s="47">
        <v>0</v>
      </c>
      <c r="D23" s="47"/>
      <c r="E23" s="47"/>
      <c r="F23" s="47" t="s">
        <v>16</v>
      </c>
      <c r="G23" s="47"/>
      <c r="H23" s="47"/>
      <c r="I23" s="47">
        <v>280000</v>
      </c>
      <c r="J23" s="47"/>
      <c r="K23" s="47">
        <f t="shared" si="0"/>
        <v>280000</v>
      </c>
      <c r="L23" s="47">
        <f>1593619+100000</f>
        <v>1693619</v>
      </c>
      <c r="M23" s="47">
        <v>25000</v>
      </c>
      <c r="N23" s="47">
        <f>10000+25000+264581+13500+2100</f>
        <v>315181</v>
      </c>
      <c r="O23" s="47"/>
      <c r="P23" s="47"/>
      <c r="Q23" s="47"/>
      <c r="R23" s="47"/>
      <c r="S23" s="47"/>
      <c r="T23" s="47"/>
      <c r="U23" s="47">
        <f t="shared" si="1"/>
        <v>2313800</v>
      </c>
    </row>
    <row r="24" spans="1:21" ht="13.5" customHeight="1">
      <c r="A24" s="19" t="s">
        <v>156</v>
      </c>
      <c r="C24" s="47">
        <f>244682+8485</f>
        <v>253167</v>
      </c>
      <c r="D24" s="47"/>
      <c r="E24" s="327"/>
      <c r="F24" s="47">
        <v>12371</v>
      </c>
      <c r="G24" s="47">
        <v>10209</v>
      </c>
      <c r="H24" s="47"/>
      <c r="I24" s="47">
        <v>7335</v>
      </c>
      <c r="J24" s="47"/>
      <c r="K24" s="47">
        <f t="shared" si="0"/>
        <v>283082</v>
      </c>
      <c r="L24" s="47">
        <v>24099</v>
      </c>
      <c r="M24" s="47">
        <v>440</v>
      </c>
      <c r="N24" s="47">
        <f>4668+164+8594</f>
        <v>13426</v>
      </c>
      <c r="O24" s="47"/>
      <c r="P24" s="47"/>
      <c r="Q24" s="47"/>
      <c r="R24" s="47"/>
      <c r="S24" s="47"/>
      <c r="T24" s="47"/>
      <c r="U24" s="47">
        <f t="shared" si="1"/>
        <v>321047</v>
      </c>
    </row>
    <row r="25" spans="1:21" ht="13.5" customHeight="1">
      <c r="A25" s="19" t="s">
        <v>157</v>
      </c>
      <c r="C25" s="47">
        <f>398018+32493+29185+2925+17909+17641+4000+4350</f>
        <v>506521</v>
      </c>
      <c r="D25" s="47">
        <v>40000</v>
      </c>
      <c r="E25" s="47"/>
      <c r="F25" s="47">
        <v>17500</v>
      </c>
      <c r="G25" s="47">
        <v>3600</v>
      </c>
      <c r="H25" s="47"/>
      <c r="I25" s="47"/>
      <c r="J25" s="47"/>
      <c r="K25" s="47">
        <f t="shared" si="0"/>
        <v>567621</v>
      </c>
      <c r="L25" s="47">
        <v>99496</v>
      </c>
      <c r="M25" s="47">
        <v>4400</v>
      </c>
      <c r="N25" s="47">
        <f>1844+6800</f>
        <v>8644</v>
      </c>
      <c r="O25" s="47"/>
      <c r="P25" s="47"/>
      <c r="Q25" s="47"/>
      <c r="R25" s="47"/>
      <c r="S25" s="47"/>
      <c r="T25" s="47"/>
      <c r="U25" s="47">
        <f t="shared" si="1"/>
        <v>680161</v>
      </c>
    </row>
    <row r="26" spans="1:21" ht="13.5" customHeight="1">
      <c r="A26" s="19" t="s">
        <v>158</v>
      </c>
      <c r="C26" s="47">
        <v>55386</v>
      </c>
      <c r="D26" s="47"/>
      <c r="E26" s="47"/>
      <c r="F26" s="47">
        <v>4600</v>
      </c>
      <c r="G26" s="47">
        <v>3556</v>
      </c>
      <c r="H26" s="47"/>
      <c r="I26" s="47"/>
      <c r="J26" s="47"/>
      <c r="K26" s="47">
        <f t="shared" si="0"/>
        <v>63542</v>
      </c>
      <c r="L26" s="47">
        <v>0</v>
      </c>
      <c r="M26" s="47">
        <v>550</v>
      </c>
      <c r="N26" s="47">
        <f>94+325</f>
        <v>419</v>
      </c>
      <c r="O26" s="47"/>
      <c r="P26" s="47"/>
      <c r="Q26" s="47"/>
      <c r="R26" s="47"/>
      <c r="S26" s="47"/>
      <c r="T26" s="47"/>
      <c r="U26" s="47">
        <f t="shared" si="1"/>
        <v>64511</v>
      </c>
    </row>
    <row r="27" spans="1:21" ht="13.5" customHeight="1">
      <c r="A27" s="19" t="s">
        <v>159</v>
      </c>
      <c r="C27" s="51">
        <v>2416592</v>
      </c>
      <c r="D27" s="51">
        <v>0</v>
      </c>
      <c r="E27" s="327"/>
      <c r="F27" s="47">
        <v>64125</v>
      </c>
      <c r="G27" s="47">
        <v>56298</v>
      </c>
      <c r="H27" s="47">
        <v>5000</v>
      </c>
      <c r="I27" s="47">
        <v>2263</v>
      </c>
      <c r="J27" s="47"/>
      <c r="K27" s="47">
        <f t="shared" si="0"/>
        <v>2544278</v>
      </c>
      <c r="L27" s="47">
        <v>447981</v>
      </c>
      <c r="M27" s="47">
        <v>22300</v>
      </c>
      <c r="N27" s="47">
        <v>53749</v>
      </c>
      <c r="O27" s="47"/>
      <c r="P27" s="47"/>
      <c r="Q27" s="47"/>
      <c r="R27" s="47"/>
      <c r="S27" s="47"/>
      <c r="T27" s="47"/>
      <c r="U27" s="47">
        <f t="shared" si="1"/>
        <v>3068308</v>
      </c>
    </row>
    <row r="28" spans="1:21" ht="13.5" customHeight="1">
      <c r="A28" s="19" t="s">
        <v>160</v>
      </c>
      <c r="C28" s="47">
        <f>161126+174258+6114+7342+250+853+9970</f>
        <v>359913</v>
      </c>
      <c r="D28" s="47"/>
      <c r="E28" s="327"/>
      <c r="F28" s="47">
        <v>4700</v>
      </c>
      <c r="G28" s="47">
        <v>17827</v>
      </c>
      <c r="H28" s="47"/>
      <c r="I28" s="47">
        <v>210</v>
      </c>
      <c r="J28" s="47"/>
      <c r="K28" s="47">
        <f t="shared" si="0"/>
        <v>382650</v>
      </c>
      <c r="L28" s="47">
        <v>16480</v>
      </c>
      <c r="M28" s="47">
        <v>2700</v>
      </c>
      <c r="N28" s="47">
        <f>1502+4519</f>
        <v>6021</v>
      </c>
      <c r="O28" s="47"/>
      <c r="P28" s="47"/>
      <c r="Q28" s="47"/>
      <c r="R28" s="47"/>
      <c r="S28" s="47"/>
      <c r="T28" s="47"/>
      <c r="U28" s="47">
        <f t="shared" si="1"/>
        <v>407851</v>
      </c>
    </row>
    <row r="29" spans="1:21" ht="13.5" customHeight="1">
      <c r="A29" s="19" t="s">
        <v>161</v>
      </c>
      <c r="C29" s="47">
        <f>196877+5262+8970+500</f>
        <v>211609</v>
      </c>
      <c r="D29" s="47"/>
      <c r="E29" s="327"/>
      <c r="F29" s="47">
        <v>3930</v>
      </c>
      <c r="G29" s="47">
        <v>11022</v>
      </c>
      <c r="H29" s="47"/>
      <c r="I29" s="47">
        <v>135</v>
      </c>
      <c r="J29" s="47"/>
      <c r="K29" s="47">
        <f t="shared" si="0"/>
        <v>226696</v>
      </c>
      <c r="L29" s="47">
        <v>0</v>
      </c>
      <c r="M29" s="47">
        <v>2210</v>
      </c>
      <c r="N29" s="47">
        <v>5591</v>
      </c>
      <c r="O29" s="47"/>
      <c r="P29" s="47"/>
      <c r="Q29" s="47"/>
      <c r="R29" s="47"/>
      <c r="S29" s="47"/>
      <c r="T29" s="47"/>
      <c r="U29" s="47">
        <f t="shared" si="1"/>
        <v>234497</v>
      </c>
    </row>
    <row r="30" spans="1:21" ht="13.5" customHeight="1">
      <c r="A30" s="19" t="s">
        <v>162</v>
      </c>
      <c r="C30" s="47">
        <f>228668+4545+8431+2000</f>
        <v>243644</v>
      </c>
      <c r="D30" s="47"/>
      <c r="E30" s="327"/>
      <c r="F30" s="47">
        <v>8379</v>
      </c>
      <c r="G30" s="47">
        <v>7005</v>
      </c>
      <c r="H30" s="47"/>
      <c r="I30" s="47">
        <v>689</v>
      </c>
      <c r="J30" s="47"/>
      <c r="K30" s="47">
        <f t="shared" si="0"/>
        <v>259717</v>
      </c>
      <c r="L30" s="47">
        <v>4430</v>
      </c>
      <c r="M30" s="47">
        <v>2234</v>
      </c>
      <c r="N30" s="47">
        <f>2040+5286</f>
        <v>7326</v>
      </c>
      <c r="O30" s="47"/>
      <c r="P30" s="47"/>
      <c r="Q30" s="47"/>
      <c r="R30" s="47"/>
      <c r="S30" s="47"/>
      <c r="T30" s="47"/>
      <c r="U30" s="47">
        <f t="shared" si="1"/>
        <v>273707</v>
      </c>
    </row>
    <row r="31" spans="1:21" ht="13.5" customHeight="1">
      <c r="A31" s="19" t="s">
        <v>163</v>
      </c>
      <c r="C31" s="47">
        <f>202609+2400+8700+4255+2000</f>
        <v>219964</v>
      </c>
      <c r="D31" s="47"/>
      <c r="E31" s="47"/>
      <c r="F31" s="47">
        <v>5800</v>
      </c>
      <c r="G31" s="47">
        <v>13750</v>
      </c>
      <c r="H31" s="47"/>
      <c r="I31" s="47">
        <v>2800</v>
      </c>
      <c r="J31" s="47"/>
      <c r="K31" s="47">
        <f t="shared" si="0"/>
        <v>242314</v>
      </c>
      <c r="L31" s="47">
        <v>33584</v>
      </c>
      <c r="M31" s="47">
        <v>0</v>
      </c>
      <c r="N31" s="47">
        <f>164+2100</f>
        <v>2264</v>
      </c>
      <c r="O31" s="47"/>
      <c r="P31" s="47"/>
      <c r="Q31" s="47"/>
      <c r="R31" s="47"/>
      <c r="S31" s="47"/>
      <c r="T31" s="47"/>
      <c r="U31" s="47">
        <f t="shared" si="1"/>
        <v>278162</v>
      </c>
    </row>
    <row r="32" spans="1:21" ht="13.5" customHeight="1">
      <c r="A32" s="19" t="s">
        <v>164</v>
      </c>
      <c r="B32" t="s">
        <v>16</v>
      </c>
      <c r="C32" s="47">
        <f>2470303+295000+10500+129703+12000+28705+13000+54600+20000+24894</f>
        <v>3058705</v>
      </c>
      <c r="D32" s="47"/>
      <c r="E32" s="327"/>
      <c r="F32" s="47">
        <v>15000</v>
      </c>
      <c r="G32" s="47">
        <v>52600</v>
      </c>
      <c r="H32" s="47">
        <v>7500</v>
      </c>
      <c r="I32" s="47">
        <v>2500</v>
      </c>
      <c r="J32" s="47"/>
      <c r="K32" s="47">
        <f t="shared" si="0"/>
        <v>3136305</v>
      </c>
      <c r="L32" s="47">
        <v>545343</v>
      </c>
      <c r="M32" s="47">
        <v>24042</v>
      </c>
      <c r="N32" s="47" t="s">
        <v>16</v>
      </c>
      <c r="O32" s="47"/>
      <c r="P32" s="47"/>
      <c r="Q32" s="47"/>
      <c r="R32" s="47"/>
      <c r="S32" s="47"/>
      <c r="T32" s="47"/>
      <c r="U32" s="47">
        <f t="shared" si="1"/>
        <v>3705690</v>
      </c>
    </row>
    <row r="33" spans="1:21" ht="13.5" customHeight="1">
      <c r="A33" s="19" t="s">
        <v>165</v>
      </c>
      <c r="C33" s="47">
        <v>93000</v>
      </c>
      <c r="D33" s="47"/>
      <c r="E33" s="327"/>
      <c r="F33" s="47">
        <v>1478</v>
      </c>
      <c r="G33" s="47">
        <v>18000</v>
      </c>
      <c r="H33" s="47">
        <v>0</v>
      </c>
      <c r="I33" s="47"/>
      <c r="J33" s="47"/>
      <c r="K33" s="47">
        <f t="shared" si="0"/>
        <v>112478</v>
      </c>
      <c r="L33" s="47">
        <v>0</v>
      </c>
      <c r="M33" s="47">
        <v>0</v>
      </c>
      <c r="N33" s="47" t="s">
        <v>16</v>
      </c>
      <c r="O33" s="47"/>
      <c r="P33" s="47"/>
      <c r="Q33" s="47"/>
      <c r="R33" s="47"/>
      <c r="S33" s="47"/>
      <c r="T33" s="47"/>
      <c r="U33" s="47">
        <f t="shared" si="1"/>
        <v>112478</v>
      </c>
    </row>
    <row r="34" spans="1:21" ht="13.5" customHeight="1">
      <c r="A34" s="19" t="s">
        <v>166</v>
      </c>
      <c r="C34" s="47">
        <v>9000</v>
      </c>
      <c r="D34" s="327"/>
      <c r="E34" s="47"/>
      <c r="F34" s="47">
        <v>2700</v>
      </c>
      <c r="G34" s="47">
        <v>300</v>
      </c>
      <c r="H34" s="47">
        <v>1100</v>
      </c>
      <c r="I34" s="47">
        <v>50</v>
      </c>
      <c r="J34" s="47"/>
      <c r="K34" s="47">
        <f t="shared" si="0"/>
        <v>13150</v>
      </c>
      <c r="L34" s="47"/>
      <c r="M34" s="47"/>
      <c r="N34" s="47"/>
      <c r="O34" s="47"/>
      <c r="P34" s="47"/>
      <c r="Q34" s="47"/>
      <c r="R34" s="47"/>
      <c r="S34" s="47"/>
      <c r="T34" s="47"/>
      <c r="U34" s="47">
        <f t="shared" si="1"/>
        <v>13150</v>
      </c>
    </row>
    <row r="35" spans="1:21" ht="13.5" customHeight="1">
      <c r="A35" s="19" t="s">
        <v>167</v>
      </c>
      <c r="C35" s="47">
        <f>131580+600+325</f>
        <v>132505</v>
      </c>
      <c r="D35" s="47">
        <v>2220</v>
      </c>
      <c r="E35" s="47"/>
      <c r="F35" s="47">
        <f>37759-2220</f>
        <v>35539</v>
      </c>
      <c r="G35" s="47">
        <v>3425</v>
      </c>
      <c r="H35" s="47"/>
      <c r="I35" s="47">
        <v>2233</v>
      </c>
      <c r="J35" s="47"/>
      <c r="K35" s="47">
        <f t="shared" si="0"/>
        <v>175922</v>
      </c>
      <c r="L35" s="47">
        <v>36149</v>
      </c>
      <c r="M35" s="47">
        <v>1302</v>
      </c>
      <c r="N35" s="47">
        <v>609</v>
      </c>
      <c r="O35" s="47"/>
      <c r="P35" s="47"/>
      <c r="Q35" s="47"/>
      <c r="R35" s="47"/>
      <c r="S35" s="47"/>
      <c r="T35" s="47"/>
      <c r="U35" s="47">
        <f t="shared" si="1"/>
        <v>213982</v>
      </c>
    </row>
    <row r="36" spans="1:21" ht="13.5" customHeight="1">
      <c r="A36" s="19" t="s">
        <v>132</v>
      </c>
      <c r="B36" t="s">
        <v>16</v>
      </c>
      <c r="C36" s="47">
        <f>175912+600</f>
        <v>176512</v>
      </c>
      <c r="D36" s="47"/>
      <c r="E36" s="350"/>
      <c r="F36" s="47">
        <v>19200</v>
      </c>
      <c r="G36" s="47">
        <v>700</v>
      </c>
      <c r="H36" s="47"/>
      <c r="I36" s="47">
        <v>1746</v>
      </c>
      <c r="J36" s="47"/>
      <c r="K36" s="47">
        <f t="shared" si="0"/>
        <v>198158</v>
      </c>
      <c r="L36" s="47">
        <v>16480</v>
      </c>
      <c r="M36" s="47">
        <v>2256</v>
      </c>
      <c r="N36" s="47">
        <v>815</v>
      </c>
      <c r="O36" s="47"/>
      <c r="P36" s="47"/>
      <c r="Q36" s="47"/>
      <c r="R36" s="47"/>
      <c r="S36" s="47"/>
      <c r="T36" s="47"/>
      <c r="U36" s="47">
        <f t="shared" si="1"/>
        <v>217709</v>
      </c>
    </row>
    <row r="37" spans="1:21" ht="13.5" customHeight="1">
      <c r="A37" s="19" t="s">
        <v>168</v>
      </c>
      <c r="C37" s="47">
        <f>71044+1655+325+600</f>
        <v>73624</v>
      </c>
      <c r="D37" s="47"/>
      <c r="E37" s="327"/>
      <c r="F37" s="47">
        <v>150</v>
      </c>
      <c r="G37" s="47">
        <v>2507</v>
      </c>
      <c r="H37" s="47"/>
      <c r="I37" s="47">
        <v>520</v>
      </c>
      <c r="J37" s="47"/>
      <c r="K37" s="47">
        <f t="shared" si="0"/>
        <v>76801</v>
      </c>
      <c r="L37" s="47">
        <v>12050</v>
      </c>
      <c r="M37" s="47">
        <v>703</v>
      </c>
      <c r="N37" s="47">
        <f>329+425</f>
        <v>754</v>
      </c>
      <c r="O37" s="47"/>
      <c r="P37" s="47"/>
      <c r="Q37" s="47"/>
      <c r="R37" s="47"/>
      <c r="S37" s="47"/>
      <c r="T37" s="47"/>
      <c r="U37" s="47">
        <f t="shared" si="1"/>
        <v>90308</v>
      </c>
    </row>
    <row r="38" spans="1:21" ht="13.5" customHeight="1">
      <c r="A38" s="19" t="s">
        <v>169</v>
      </c>
      <c r="C38" s="47">
        <f>147586+1800+550</f>
        <v>149936</v>
      </c>
      <c r="D38" s="47"/>
      <c r="E38" s="47"/>
      <c r="F38" s="47">
        <f>3765+29140</f>
        <v>32905</v>
      </c>
      <c r="G38" s="47">
        <v>500</v>
      </c>
      <c r="H38" s="47"/>
      <c r="I38" s="47">
        <v>1482</v>
      </c>
      <c r="J38" s="47"/>
      <c r="K38" s="47">
        <f t="shared" si="0"/>
        <v>184823</v>
      </c>
      <c r="L38" s="47">
        <v>29154</v>
      </c>
      <c r="M38" s="47">
        <v>1450</v>
      </c>
      <c r="N38" s="47">
        <f>850+684</f>
        <v>1534</v>
      </c>
      <c r="O38" s="47"/>
      <c r="P38" s="47"/>
      <c r="Q38" s="47"/>
      <c r="R38" s="47"/>
      <c r="S38" s="47"/>
      <c r="T38" s="47"/>
      <c r="U38" s="47">
        <f t="shared" si="1"/>
        <v>216961</v>
      </c>
    </row>
    <row r="39" spans="1:21" ht="13.5" customHeight="1">
      <c r="A39" s="19" t="s">
        <v>170</v>
      </c>
      <c r="C39" s="47">
        <f>179348+600+1350+1500</f>
        <v>182798</v>
      </c>
      <c r="D39" s="47"/>
      <c r="E39" s="47"/>
      <c r="F39" s="47">
        <v>4280</v>
      </c>
      <c r="G39" s="47">
        <v>4250</v>
      </c>
      <c r="H39" s="47">
        <v>0</v>
      </c>
      <c r="I39" s="47">
        <v>1150</v>
      </c>
      <c r="J39" s="47"/>
      <c r="K39" s="47">
        <f t="shared" si="0"/>
        <v>192478</v>
      </c>
      <c r="L39" s="47">
        <v>40579</v>
      </c>
      <c r="M39" s="47">
        <v>3200</v>
      </c>
      <c r="N39" s="47">
        <f>1379+72+6750+13425+220</f>
        <v>21846</v>
      </c>
      <c r="O39" s="47"/>
      <c r="P39" s="47"/>
      <c r="Q39" s="47"/>
      <c r="R39" s="47"/>
      <c r="S39" s="47"/>
      <c r="T39" s="47"/>
      <c r="U39" s="47">
        <f>SUM(K39:T39)+2</f>
        <v>258105</v>
      </c>
    </row>
    <row r="40" spans="1:21" ht="13.5" customHeight="1">
      <c r="A40" s="19" t="s">
        <v>171</v>
      </c>
      <c r="C40" s="47">
        <f>211095+41213+90272+1125</f>
        <v>343705</v>
      </c>
      <c r="D40" s="47"/>
      <c r="E40" s="47"/>
      <c r="F40" s="47">
        <v>206237</v>
      </c>
      <c r="G40" s="47">
        <v>222330</v>
      </c>
      <c r="H40" s="47"/>
      <c r="I40" s="47"/>
      <c r="J40" s="47"/>
      <c r="K40" s="47">
        <f t="shared" si="0"/>
        <v>772272</v>
      </c>
      <c r="L40" s="47">
        <v>22009</v>
      </c>
      <c r="M40" s="47">
        <v>1230</v>
      </c>
      <c r="N40" s="47">
        <f>1755+72</f>
        <v>1827</v>
      </c>
      <c r="O40" s="47"/>
      <c r="P40" s="47"/>
      <c r="Q40" s="47"/>
      <c r="R40" s="47"/>
      <c r="S40" s="47"/>
      <c r="T40" s="47"/>
      <c r="U40" s="47">
        <f t="shared" si="1"/>
        <v>797338</v>
      </c>
    </row>
    <row r="41" spans="1:21" ht="13.5" customHeight="1">
      <c r="A41" s="19" t="s">
        <v>172</v>
      </c>
      <c r="C41" s="47"/>
      <c r="D41" s="47"/>
      <c r="E41" s="47"/>
      <c r="F41" s="47">
        <v>0</v>
      </c>
      <c r="G41" s="47"/>
      <c r="H41" s="47"/>
      <c r="I41" s="47"/>
      <c r="J41" s="47"/>
      <c r="K41" s="47">
        <f t="shared" si="0"/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>
        <f t="shared" si="1"/>
        <v>0</v>
      </c>
    </row>
    <row r="42" spans="1:21" ht="13.5" customHeight="1">
      <c r="A42" s="19" t="s">
        <v>173</v>
      </c>
      <c r="C42" s="48" t="s">
        <v>16</v>
      </c>
      <c r="D42" s="47"/>
      <c r="E42" s="47"/>
      <c r="F42" s="47"/>
      <c r="G42" s="47"/>
      <c r="H42" s="47"/>
      <c r="I42" s="47"/>
      <c r="J42" s="47"/>
      <c r="K42" s="47">
        <f t="shared" si="0"/>
        <v>0</v>
      </c>
      <c r="L42" s="48" t="s">
        <v>16</v>
      </c>
      <c r="M42" s="48" t="s">
        <v>16</v>
      </c>
      <c r="N42" s="48" t="s">
        <v>16</v>
      </c>
      <c r="O42" s="48" t="s">
        <v>16</v>
      </c>
      <c r="P42" s="47"/>
      <c r="Q42" s="47">
        <v>1869995</v>
      </c>
      <c r="R42" s="47"/>
      <c r="S42" s="47"/>
      <c r="T42" s="47"/>
      <c r="U42" s="47">
        <f t="shared" si="1"/>
        <v>1869995</v>
      </c>
    </row>
    <row r="43" spans="1:21" ht="13.5" customHeight="1">
      <c r="A43" s="19" t="s">
        <v>174</v>
      </c>
      <c r="C43" s="47"/>
      <c r="D43" s="47"/>
      <c r="E43" s="47"/>
      <c r="F43" s="47"/>
      <c r="G43" s="47"/>
      <c r="H43" s="47"/>
      <c r="I43" s="47"/>
      <c r="J43" s="47"/>
      <c r="K43" s="47">
        <f t="shared" si="0"/>
        <v>0</v>
      </c>
      <c r="L43" s="47"/>
      <c r="M43" s="47"/>
      <c r="N43" s="47"/>
      <c r="O43" s="47"/>
      <c r="P43" s="47"/>
      <c r="Q43" s="47">
        <v>3784664</v>
      </c>
      <c r="R43" s="47"/>
      <c r="S43" s="47"/>
      <c r="T43" s="47"/>
      <c r="U43" s="47">
        <f t="shared" si="1"/>
        <v>3784664</v>
      </c>
    </row>
    <row r="44" spans="1:21" ht="13.5" customHeight="1">
      <c r="A44" s="19" t="s">
        <v>175</v>
      </c>
      <c r="C44" s="48" t="s">
        <v>16</v>
      </c>
      <c r="D44" s="47"/>
      <c r="E44" s="47"/>
      <c r="F44" s="47"/>
      <c r="G44" s="47"/>
      <c r="H44" s="47"/>
      <c r="I44" s="47"/>
      <c r="J44" s="47"/>
      <c r="K44" s="47">
        <f t="shared" si="0"/>
        <v>0</v>
      </c>
      <c r="L44" s="47"/>
      <c r="M44" s="48" t="s">
        <v>16</v>
      </c>
      <c r="N44" s="49" t="s">
        <v>16</v>
      </c>
      <c r="O44" s="47"/>
      <c r="P44" s="47"/>
      <c r="Q44" s="47">
        <v>227917</v>
      </c>
      <c r="R44" s="47"/>
      <c r="S44" s="47"/>
      <c r="T44" s="47"/>
      <c r="U44" s="47">
        <f t="shared" si="1"/>
        <v>227917</v>
      </c>
    </row>
    <row r="45" spans="1:21" ht="13.5" customHeight="1">
      <c r="A45" s="19" t="s">
        <v>176</v>
      </c>
      <c r="C45" s="47">
        <f>266163+600+1275</f>
        <v>268038</v>
      </c>
      <c r="D45" s="47">
        <v>0</v>
      </c>
      <c r="E45" s="327"/>
      <c r="F45" s="47">
        <v>9540</v>
      </c>
      <c r="G45" s="47">
        <v>135028</v>
      </c>
      <c r="H45" s="47">
        <v>0</v>
      </c>
      <c r="I45" s="47"/>
      <c r="J45" s="47"/>
      <c r="K45" s="47">
        <f t="shared" si="0"/>
        <v>412606</v>
      </c>
      <c r="L45" s="47">
        <v>36149</v>
      </c>
      <c r="M45" s="47">
        <v>2750</v>
      </c>
      <c r="N45" s="47">
        <f>10747+120</f>
        <v>10867</v>
      </c>
      <c r="O45" s="47"/>
      <c r="P45" s="47"/>
      <c r="Q45" s="47"/>
      <c r="R45" s="47"/>
      <c r="S45" s="47"/>
      <c r="T45" s="47"/>
      <c r="U45" s="47">
        <f t="shared" si="1"/>
        <v>462372</v>
      </c>
    </row>
    <row r="46" spans="1:21" ht="13.5" customHeight="1">
      <c r="A46" s="19" t="s">
        <v>177</v>
      </c>
      <c r="C46" s="47">
        <v>31605</v>
      </c>
      <c r="D46" s="47"/>
      <c r="E46" s="47"/>
      <c r="F46" s="47">
        <v>146083</v>
      </c>
      <c r="G46" s="47">
        <v>12500</v>
      </c>
      <c r="H46" s="47"/>
      <c r="I46" s="47">
        <v>300</v>
      </c>
      <c r="J46" s="47"/>
      <c r="K46" s="47">
        <f t="shared" si="0"/>
        <v>190488</v>
      </c>
      <c r="L46" s="47">
        <v>5070</v>
      </c>
      <c r="M46" s="50">
        <v>320</v>
      </c>
      <c r="N46" s="50">
        <v>1266</v>
      </c>
      <c r="O46" s="47"/>
      <c r="P46" s="47"/>
      <c r="Q46" s="47"/>
      <c r="R46" s="47"/>
      <c r="S46" s="47"/>
      <c r="T46" s="47"/>
      <c r="U46" s="47">
        <f t="shared" si="1"/>
        <v>197144</v>
      </c>
    </row>
    <row r="47" spans="1:21" ht="13.5" customHeight="1">
      <c r="A47" s="19" t="s">
        <v>178</v>
      </c>
      <c r="C47" s="47">
        <f>33679+28361</f>
        <v>62040</v>
      </c>
      <c r="D47" s="47">
        <v>2200</v>
      </c>
      <c r="E47" s="47"/>
      <c r="F47" s="47"/>
      <c r="G47" s="47">
        <v>6200</v>
      </c>
      <c r="H47" s="47"/>
      <c r="I47" s="47"/>
      <c r="J47" s="47"/>
      <c r="K47" s="47">
        <f t="shared" si="0"/>
        <v>70440</v>
      </c>
      <c r="L47" s="47">
        <v>5070</v>
      </c>
      <c r="M47" s="50">
        <v>620</v>
      </c>
      <c r="N47" s="50">
        <f>1358+24</f>
        <v>1382</v>
      </c>
      <c r="O47" s="47"/>
      <c r="P47" s="47"/>
      <c r="Q47" s="47"/>
      <c r="R47" s="47"/>
      <c r="S47" s="47"/>
      <c r="T47" s="47"/>
      <c r="U47" s="47">
        <f t="shared" si="1"/>
        <v>77512</v>
      </c>
    </row>
    <row r="48" spans="1:21" ht="13.5" customHeight="1">
      <c r="A48" s="19" t="s">
        <v>179</v>
      </c>
      <c r="C48" s="51">
        <f>70863+1938+425</f>
        <v>73226</v>
      </c>
      <c r="D48" s="47"/>
      <c r="E48" s="47"/>
      <c r="F48" s="47"/>
      <c r="G48" s="47">
        <v>17730</v>
      </c>
      <c r="H48" s="47"/>
      <c r="I48" s="47"/>
      <c r="J48" s="47"/>
      <c r="K48" s="47">
        <f t="shared" si="0"/>
        <v>90956</v>
      </c>
      <c r="L48" s="47">
        <v>24099</v>
      </c>
      <c r="M48" s="47">
        <v>625</v>
      </c>
      <c r="N48" s="50">
        <f>72+2747</f>
        <v>2819</v>
      </c>
      <c r="O48" s="47"/>
      <c r="P48" s="47"/>
      <c r="Q48" s="47"/>
      <c r="R48" s="47">
        <v>2717080</v>
      </c>
      <c r="S48" s="47"/>
      <c r="T48" s="47"/>
      <c r="U48" s="47">
        <f t="shared" si="1"/>
        <v>2835579</v>
      </c>
    </row>
    <row r="49" spans="1:21" ht="13.5" customHeight="1">
      <c r="A49" s="19" t="s">
        <v>183</v>
      </c>
      <c r="C49" s="47"/>
      <c r="D49" s="47">
        <v>190000</v>
      </c>
      <c r="E49" s="47"/>
      <c r="F49" s="47" t="s">
        <v>16</v>
      </c>
      <c r="G49" s="47"/>
      <c r="H49" s="47"/>
      <c r="I49" s="47"/>
      <c r="J49" s="47"/>
      <c r="K49" s="47">
        <f t="shared" si="0"/>
        <v>190000</v>
      </c>
      <c r="L49" s="47"/>
      <c r="M49" s="47"/>
      <c r="N49" s="47"/>
      <c r="O49" s="47"/>
      <c r="P49" s="47"/>
      <c r="Q49" s="47"/>
      <c r="R49" s="47"/>
      <c r="S49" s="47"/>
      <c r="T49" s="47"/>
      <c r="U49" s="47">
        <f t="shared" si="1"/>
        <v>190000</v>
      </c>
    </row>
    <row r="50" spans="1:21" ht="13.5" customHeight="1">
      <c r="A50" s="19" t="s">
        <v>184</v>
      </c>
      <c r="C50" s="47">
        <f>136257+39750+3500+225</f>
        <v>179732</v>
      </c>
      <c r="D50" s="47">
        <f>86000+14000+32000+6200</f>
        <v>138200</v>
      </c>
      <c r="E50" s="327"/>
      <c r="F50" s="47">
        <f>237316-138200</f>
        <v>99116</v>
      </c>
      <c r="G50" s="47">
        <v>72200</v>
      </c>
      <c r="H50" s="47">
        <v>0</v>
      </c>
      <c r="I50" s="47">
        <v>0</v>
      </c>
      <c r="J50" s="47"/>
      <c r="K50" s="47">
        <f t="shared" si="0"/>
        <v>489248</v>
      </c>
      <c r="L50" s="47">
        <v>24099</v>
      </c>
      <c r="M50" s="47">
        <v>2428</v>
      </c>
      <c r="N50" s="47">
        <f>1652+850</f>
        <v>2502</v>
      </c>
      <c r="O50" s="47"/>
      <c r="P50" s="47"/>
      <c r="Q50" s="47"/>
      <c r="R50" s="47"/>
      <c r="S50" s="47"/>
      <c r="T50" s="47"/>
      <c r="U50" s="47">
        <f t="shared" si="1"/>
        <v>518277</v>
      </c>
    </row>
    <row r="51" spans="1:21" ht="13.5" customHeight="1">
      <c r="A51" s="19" t="s">
        <v>380</v>
      </c>
      <c r="C51" s="47">
        <f>201895+19634+28475+750</f>
        <v>250754</v>
      </c>
      <c r="D51" s="47">
        <f>38000+17056+2340+5000</f>
        <v>62396</v>
      </c>
      <c r="E51" s="327"/>
      <c r="F51" s="47">
        <f>85020-57396</f>
        <v>27624</v>
      </c>
      <c r="G51" s="47">
        <v>72016</v>
      </c>
      <c r="H51" s="47">
        <v>0</v>
      </c>
      <c r="I51" s="47"/>
      <c r="J51" s="47"/>
      <c r="K51" s="47">
        <f t="shared" si="0"/>
        <v>412790</v>
      </c>
      <c r="L51" s="47">
        <v>37389</v>
      </c>
      <c r="M51" s="47">
        <v>2079</v>
      </c>
      <c r="N51" s="47">
        <f>2200+1000+2125</f>
        <v>5325</v>
      </c>
      <c r="O51" s="47"/>
      <c r="P51" s="47"/>
      <c r="Q51" s="47"/>
      <c r="R51" s="47"/>
      <c r="S51" s="47"/>
      <c r="T51" s="47"/>
      <c r="U51" s="47">
        <f t="shared" si="1"/>
        <v>457583</v>
      </c>
    </row>
    <row r="52" spans="1:21" ht="13.5" customHeight="1">
      <c r="A52" s="19" t="s">
        <v>130</v>
      </c>
      <c r="C52" s="47">
        <f>189459+22845+17826+875+1275</f>
        <v>232280</v>
      </c>
      <c r="D52" s="47">
        <f>1884+1619+6500</f>
        <v>10003</v>
      </c>
      <c r="E52" s="327"/>
      <c r="F52" s="47">
        <f>17873-10003</f>
        <v>7870</v>
      </c>
      <c r="G52" s="47">
        <v>23526</v>
      </c>
      <c r="H52" s="47"/>
      <c r="I52" s="47">
        <v>80</v>
      </c>
      <c r="J52" s="47"/>
      <c r="K52" s="47">
        <f t="shared" si="0"/>
        <v>273759</v>
      </c>
      <c r="L52" s="47">
        <v>40579</v>
      </c>
      <c r="M52" s="47">
        <v>2070</v>
      </c>
      <c r="N52" s="47">
        <f>180+5575</f>
        <v>5755</v>
      </c>
      <c r="O52" s="47"/>
      <c r="P52" s="47"/>
      <c r="Q52" s="47"/>
      <c r="R52" s="47"/>
      <c r="S52" s="47"/>
      <c r="T52" s="47"/>
      <c r="U52" s="47">
        <f t="shared" si="1"/>
        <v>322163</v>
      </c>
    </row>
    <row r="53" spans="1:21" ht="13.5" customHeight="1">
      <c r="A53" s="19" t="s">
        <v>129</v>
      </c>
      <c r="C53" s="47">
        <f>154041+35491+930+5000</f>
        <v>195462</v>
      </c>
      <c r="D53" s="47"/>
      <c r="E53" s="47"/>
      <c r="F53" s="47">
        <v>11505</v>
      </c>
      <c r="G53" s="47">
        <v>2560</v>
      </c>
      <c r="H53" s="47"/>
      <c r="I53" s="47">
        <v>1857</v>
      </c>
      <c r="J53" s="47"/>
      <c r="K53" s="47">
        <f t="shared" si="0"/>
        <v>211384</v>
      </c>
      <c r="L53" s="47">
        <v>20910</v>
      </c>
      <c r="M53" s="47">
        <v>1755</v>
      </c>
      <c r="N53" s="47">
        <v>200</v>
      </c>
      <c r="O53" s="47"/>
      <c r="P53" s="47"/>
      <c r="Q53" s="47"/>
      <c r="R53" s="47"/>
      <c r="S53" s="47"/>
      <c r="T53" s="47"/>
      <c r="U53" s="47">
        <f t="shared" si="1"/>
        <v>234249</v>
      </c>
    </row>
    <row r="54" spans="1:21" ht="13.5" customHeight="1">
      <c r="A54" s="19" t="s">
        <v>186</v>
      </c>
      <c r="C54" s="47">
        <f>43000+800</f>
        <v>43800</v>
      </c>
      <c r="D54" s="47"/>
      <c r="E54" s="327"/>
      <c r="F54" s="47">
        <v>17535</v>
      </c>
      <c r="G54" s="47">
        <v>2400</v>
      </c>
      <c r="H54" s="47"/>
      <c r="I54" s="47">
        <v>945</v>
      </c>
      <c r="J54" s="47"/>
      <c r="K54" s="47">
        <f t="shared" si="0"/>
        <v>64680</v>
      </c>
      <c r="L54" s="47">
        <v>0</v>
      </c>
      <c r="M54" s="47">
        <v>420</v>
      </c>
      <c r="N54" s="47" t="s">
        <v>16</v>
      </c>
      <c r="O54" s="47"/>
      <c r="P54" s="47"/>
      <c r="Q54" s="47"/>
      <c r="R54" s="47"/>
      <c r="S54" s="47"/>
      <c r="T54" s="47"/>
      <c r="U54" s="47">
        <f t="shared" si="1"/>
        <v>65100</v>
      </c>
    </row>
    <row r="55" spans="1:21" ht="13.5" customHeight="1">
      <c r="A55" s="19" t="s">
        <v>307</v>
      </c>
      <c r="C55" s="47">
        <v>5000</v>
      </c>
      <c r="D55" s="47"/>
      <c r="E55" s="47"/>
      <c r="F55" s="47"/>
      <c r="G55" s="47">
        <v>430</v>
      </c>
      <c r="H55" s="47"/>
      <c r="I55" s="47"/>
      <c r="J55" s="47"/>
      <c r="K55" s="47">
        <f t="shared" si="0"/>
        <v>5430</v>
      </c>
      <c r="L55" s="47"/>
      <c r="M55" s="47"/>
      <c r="N55" s="47"/>
      <c r="O55" s="47"/>
      <c r="P55" s="47"/>
      <c r="Q55" s="47"/>
      <c r="R55" s="47"/>
      <c r="S55" s="47"/>
      <c r="T55" s="47"/>
      <c r="U55" s="47">
        <f t="shared" si="1"/>
        <v>5430</v>
      </c>
    </row>
    <row r="56" spans="1:21" ht="13.5" customHeight="1">
      <c r="A56" s="19" t="s">
        <v>188</v>
      </c>
      <c r="C56" s="47">
        <f>168059+91733</f>
        <v>259792</v>
      </c>
      <c r="D56" s="47"/>
      <c r="E56" s="47"/>
      <c r="F56" s="47">
        <v>150775</v>
      </c>
      <c r="G56" s="47">
        <v>6450</v>
      </c>
      <c r="H56" s="47"/>
      <c r="I56" s="47">
        <v>800</v>
      </c>
      <c r="J56" s="47"/>
      <c r="K56" s="47">
        <f t="shared" si="0"/>
        <v>417817</v>
      </c>
      <c r="L56" s="47">
        <v>55728</v>
      </c>
      <c r="M56" s="47">
        <v>4347</v>
      </c>
      <c r="N56" s="47">
        <v>1203</v>
      </c>
      <c r="O56" s="47"/>
      <c r="P56" s="47"/>
      <c r="Q56" s="47"/>
      <c r="R56" s="47"/>
      <c r="S56" s="47"/>
      <c r="T56" s="47"/>
      <c r="U56" s="47">
        <f t="shared" si="1"/>
        <v>479095</v>
      </c>
    </row>
    <row r="57" spans="1:21" ht="13.5" customHeight="1">
      <c r="A57" s="19" t="s">
        <v>189</v>
      </c>
      <c r="C57" s="47">
        <v>12000</v>
      </c>
      <c r="D57" s="47"/>
      <c r="E57" s="47"/>
      <c r="F57" s="47"/>
      <c r="G57" s="47">
        <v>175</v>
      </c>
      <c r="H57" s="47"/>
      <c r="I57" s="47">
        <v>7075</v>
      </c>
      <c r="J57" s="47"/>
      <c r="K57" s="47">
        <f t="shared" si="0"/>
        <v>19250</v>
      </c>
      <c r="L57" s="47"/>
      <c r="M57" s="47"/>
      <c r="N57" s="47"/>
      <c r="O57" s="47"/>
      <c r="P57" s="47"/>
      <c r="Q57" s="47"/>
      <c r="R57" s="47"/>
      <c r="S57" s="47"/>
      <c r="T57" s="47"/>
      <c r="U57" s="47">
        <f t="shared" si="1"/>
        <v>19250</v>
      </c>
    </row>
    <row r="58" spans="1:21" ht="13.5" customHeight="1">
      <c r="A58" s="19" t="s">
        <v>190</v>
      </c>
      <c r="C58" s="47">
        <v>18919</v>
      </c>
      <c r="D58" s="47"/>
      <c r="E58" s="47"/>
      <c r="F58" s="47">
        <v>22400</v>
      </c>
      <c r="G58" s="47">
        <v>800</v>
      </c>
      <c r="H58" s="47"/>
      <c r="I58" s="47"/>
      <c r="J58" s="47"/>
      <c r="K58" s="47">
        <f t="shared" si="0"/>
        <v>42119</v>
      </c>
      <c r="L58" s="47">
        <v>0</v>
      </c>
      <c r="M58" s="47">
        <v>187</v>
      </c>
      <c r="N58" s="47" t="s">
        <v>16</v>
      </c>
      <c r="O58" s="47"/>
      <c r="P58" s="47"/>
      <c r="Q58" s="47"/>
      <c r="R58" s="47"/>
      <c r="S58" s="47"/>
      <c r="T58" s="47"/>
      <c r="U58" s="47">
        <f t="shared" si="1"/>
        <v>42306</v>
      </c>
    </row>
    <row r="59" spans="1:21" ht="13.5" customHeight="1">
      <c r="A59" s="19" t="s">
        <v>191</v>
      </c>
      <c r="C59" s="47">
        <f>151507+11030+2245+225+425</f>
        <v>165432</v>
      </c>
      <c r="D59" s="47">
        <f>32000+20555+5445</f>
        <v>58000</v>
      </c>
      <c r="E59" s="47"/>
      <c r="F59" s="47">
        <f>134773-58000</f>
        <v>76773</v>
      </c>
      <c r="G59" s="47">
        <v>9525</v>
      </c>
      <c r="H59" s="47"/>
      <c r="I59" s="47">
        <v>1430</v>
      </c>
      <c r="J59" s="47"/>
      <c r="K59" s="47">
        <f t="shared" si="0"/>
        <v>311160</v>
      </c>
      <c r="L59" s="47">
        <v>35443</v>
      </c>
      <c r="M59" s="47">
        <v>1470</v>
      </c>
      <c r="N59" s="47">
        <v>309</v>
      </c>
      <c r="O59" s="47"/>
      <c r="P59" s="47"/>
      <c r="Q59" s="47"/>
      <c r="R59" s="47"/>
      <c r="S59" s="47"/>
      <c r="T59" s="47"/>
      <c r="U59" s="47">
        <f t="shared" si="1"/>
        <v>348382</v>
      </c>
    </row>
    <row r="60" spans="1:21" ht="13.5" customHeight="1">
      <c r="A60" s="19" t="s">
        <v>192</v>
      </c>
      <c r="C60" s="47">
        <f>442555+198424+2200+2325</f>
        <v>645504</v>
      </c>
      <c r="D60" s="47">
        <v>9600</v>
      </c>
      <c r="E60" s="327"/>
      <c r="F60" s="47">
        <f>11650-9600</f>
        <v>2050</v>
      </c>
      <c r="G60" s="47">
        <v>239010</v>
      </c>
      <c r="H60" s="47"/>
      <c r="I60" s="47">
        <v>355</v>
      </c>
      <c r="J60" s="47"/>
      <c r="K60" s="47">
        <f t="shared" si="0"/>
        <v>896519</v>
      </c>
      <c r="L60" s="47">
        <v>58299</v>
      </c>
      <c r="M60" s="47">
        <v>4970</v>
      </c>
      <c r="N60" s="47">
        <v>1238</v>
      </c>
      <c r="O60" s="47"/>
      <c r="P60" s="47"/>
      <c r="Q60" s="47"/>
      <c r="R60" s="47"/>
      <c r="S60" s="47"/>
      <c r="T60" s="47"/>
      <c r="U60" s="47">
        <f>SUM(K60:T60)-1</f>
        <v>961025</v>
      </c>
    </row>
    <row r="61" spans="1:21" ht="13.5" customHeight="1">
      <c r="A61" s="19" t="s">
        <v>193</v>
      </c>
      <c r="C61" s="47">
        <f>111266+22233+1225</f>
        <v>134724</v>
      </c>
      <c r="D61" s="47"/>
      <c r="E61" s="47"/>
      <c r="F61" s="47">
        <v>53000</v>
      </c>
      <c r="G61" s="47">
        <v>11000</v>
      </c>
      <c r="H61" s="47"/>
      <c r="I61" s="47">
        <v>70</v>
      </c>
      <c r="J61" s="47"/>
      <c r="K61" s="47">
        <f t="shared" si="0"/>
        <v>198794</v>
      </c>
      <c r="L61" s="47">
        <v>17105</v>
      </c>
      <c r="M61" s="47">
        <v>1039</v>
      </c>
      <c r="N61" s="47">
        <v>300</v>
      </c>
      <c r="O61" s="47"/>
      <c r="P61" s="47"/>
      <c r="Q61" s="47"/>
      <c r="R61" s="47"/>
      <c r="S61" s="47"/>
      <c r="T61" s="47"/>
      <c r="U61" s="47">
        <f t="shared" si="1"/>
        <v>217238</v>
      </c>
    </row>
    <row r="62" spans="1:21" ht="13.5" customHeight="1">
      <c r="A62" s="19" t="s">
        <v>194</v>
      </c>
      <c r="C62" s="47">
        <f>104881+550</f>
        <v>105431</v>
      </c>
      <c r="D62" s="47"/>
      <c r="E62" s="47"/>
      <c r="F62" s="47">
        <v>6700</v>
      </c>
      <c r="G62" s="47">
        <v>2500</v>
      </c>
      <c r="H62" s="47"/>
      <c r="I62" s="47">
        <v>300</v>
      </c>
      <c r="J62" s="47"/>
      <c r="K62" s="47">
        <f t="shared" si="0"/>
        <v>114931</v>
      </c>
      <c r="L62" s="47">
        <v>20909</v>
      </c>
      <c r="M62" s="47">
        <v>0</v>
      </c>
      <c r="N62" s="47">
        <v>486</v>
      </c>
      <c r="O62" s="47"/>
      <c r="P62" s="47"/>
      <c r="Q62" s="47"/>
      <c r="R62" s="47"/>
      <c r="S62" s="47"/>
      <c r="T62" s="47"/>
      <c r="U62" s="47">
        <f t="shared" si="1"/>
        <v>136326</v>
      </c>
    </row>
    <row r="63" spans="1:21" ht="13.5" customHeight="1">
      <c r="A63" s="19" t="s">
        <v>195</v>
      </c>
      <c r="C63" s="47">
        <f>395194-3279-17105-5702</f>
        <v>369108</v>
      </c>
      <c r="D63" s="47">
        <v>2000</v>
      </c>
      <c r="E63" s="47"/>
      <c r="F63" s="47">
        <f>41300+5000</f>
        <v>46300</v>
      </c>
      <c r="G63" s="47">
        <v>26000</v>
      </c>
      <c r="H63" s="47"/>
      <c r="I63" s="47">
        <v>0</v>
      </c>
      <c r="J63" s="47"/>
      <c r="K63" s="47">
        <f t="shared" si="0"/>
        <v>443408</v>
      </c>
      <c r="L63" s="47">
        <v>17105</v>
      </c>
      <c r="M63" s="47">
        <v>3279</v>
      </c>
      <c r="N63" s="47">
        <v>5702</v>
      </c>
      <c r="O63" s="47"/>
      <c r="P63" s="47"/>
      <c r="Q63" s="47"/>
      <c r="R63" s="47"/>
      <c r="S63" s="47"/>
      <c r="T63" s="47"/>
      <c r="U63" s="47">
        <f t="shared" si="1"/>
        <v>469494</v>
      </c>
    </row>
    <row r="64" spans="1:21" ht="13.5" customHeight="1">
      <c r="A64" s="19" t="s">
        <v>196</v>
      </c>
      <c r="C64" s="47"/>
      <c r="D64" s="47"/>
      <c r="E64" s="47"/>
      <c r="F64" s="47"/>
      <c r="G64" s="47"/>
      <c r="H64" s="47"/>
      <c r="I64" s="47"/>
      <c r="J64" s="47"/>
      <c r="K64" s="47">
        <f t="shared" si="0"/>
        <v>0</v>
      </c>
      <c r="L64" s="47"/>
      <c r="M64" s="47"/>
      <c r="N64" s="47"/>
      <c r="O64" s="47"/>
      <c r="P64" s="47"/>
      <c r="Q64" s="47"/>
      <c r="R64" s="47"/>
      <c r="S64" s="47">
        <f>4850474-249400</f>
        <v>4601074</v>
      </c>
      <c r="T64" s="47"/>
      <c r="U64" s="47">
        <f t="shared" si="1"/>
        <v>4601074</v>
      </c>
    </row>
    <row r="65" spans="1:21" ht="13.5" customHeight="1">
      <c r="A65" s="19" t="s">
        <v>198</v>
      </c>
      <c r="C65" s="47"/>
      <c r="D65" s="47"/>
      <c r="E65" s="47"/>
      <c r="F65" s="47"/>
      <c r="G65" s="47"/>
      <c r="H65" s="47">
        <v>0</v>
      </c>
      <c r="I65" s="47"/>
      <c r="J65" s="47"/>
      <c r="K65" s="47">
        <f t="shared" si="0"/>
        <v>0</v>
      </c>
      <c r="L65" s="47"/>
      <c r="M65" s="47"/>
      <c r="N65" s="47" t="s">
        <v>16</v>
      </c>
      <c r="O65" s="47"/>
      <c r="P65" s="47"/>
      <c r="Q65" s="47"/>
      <c r="R65" s="47"/>
      <c r="S65" s="47"/>
      <c r="T65" s="47"/>
      <c r="U65" s="47">
        <v>2424950</v>
      </c>
    </row>
    <row r="66" spans="3:21" ht="13.5" customHeight="1">
      <c r="C66" s="47"/>
      <c r="D66" s="47"/>
      <c r="E66" s="47"/>
      <c r="F66" s="47"/>
      <c r="G66" s="47"/>
      <c r="H66" s="47"/>
      <c r="I66" s="47"/>
      <c r="J66" s="47"/>
      <c r="K66" s="47">
        <f t="shared" si="0"/>
        <v>0</v>
      </c>
      <c r="L66" s="47"/>
      <c r="M66" s="47"/>
      <c r="N66" s="47"/>
      <c r="O66" s="47"/>
      <c r="P66" s="47"/>
      <c r="Q66" s="47"/>
      <c r="R66" s="47"/>
      <c r="S66" s="47"/>
      <c r="T66" s="47"/>
      <c r="U66" s="47">
        <f t="shared" si="1"/>
        <v>0</v>
      </c>
    </row>
    <row r="67" spans="3:21" ht="13.5" customHeight="1">
      <c r="C67" s="47">
        <f aca="true" t="shared" si="2" ref="C67:H67">SUM(C6:C65)</f>
        <v>12908266</v>
      </c>
      <c r="D67" s="47">
        <f t="shared" si="2"/>
        <v>516069</v>
      </c>
      <c r="E67" s="47">
        <f t="shared" si="2"/>
        <v>0</v>
      </c>
      <c r="F67" s="47">
        <f t="shared" si="2"/>
        <v>1939825</v>
      </c>
      <c r="G67" s="47">
        <f t="shared" si="2"/>
        <v>1103499</v>
      </c>
      <c r="H67" s="47">
        <f t="shared" si="2"/>
        <v>13600</v>
      </c>
      <c r="I67" s="47">
        <f>SUM(I6:I65)-5000</f>
        <v>360607</v>
      </c>
      <c r="J67" s="51" t="s">
        <v>16</v>
      </c>
      <c r="K67" s="47">
        <f t="shared" si="0"/>
        <v>16841866</v>
      </c>
      <c r="L67" s="47">
        <f aca="true" t="shared" si="3" ref="L67:S67">SUM(L6:L65)</f>
        <v>3628086</v>
      </c>
      <c r="M67" s="47">
        <f t="shared" si="3"/>
        <v>135922</v>
      </c>
      <c r="N67" s="47">
        <f>SUM(N6:N65)</f>
        <v>488074</v>
      </c>
      <c r="O67" s="47">
        <f t="shared" si="3"/>
        <v>3024170</v>
      </c>
      <c r="P67" s="47">
        <f t="shared" si="3"/>
        <v>400000</v>
      </c>
      <c r="Q67" s="47">
        <f t="shared" si="3"/>
        <v>5882576</v>
      </c>
      <c r="R67" s="47">
        <f t="shared" si="3"/>
        <v>2717080</v>
      </c>
      <c r="S67" s="47">
        <f t="shared" si="3"/>
        <v>4601074</v>
      </c>
      <c r="T67" s="47" t="s">
        <v>16</v>
      </c>
      <c r="U67" s="47">
        <f t="shared" si="1"/>
        <v>37718848</v>
      </c>
    </row>
    <row r="68" spans="3:21" ht="13.5" customHeight="1">
      <c r="C68" s="47"/>
      <c r="D68" s="47"/>
      <c r="E68" s="51" t="s">
        <v>16</v>
      </c>
      <c r="F68" s="47"/>
      <c r="G68" s="47"/>
      <c r="H68" s="47"/>
      <c r="I68" s="51" t="s">
        <v>295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 t="s">
        <v>16</v>
      </c>
    </row>
    <row r="69" spans="1:21" ht="13.5" customHeight="1">
      <c r="A69" t="s">
        <v>285</v>
      </c>
      <c r="C69" s="47">
        <v>20556111</v>
      </c>
      <c r="D69" s="47"/>
      <c r="E69" s="47"/>
      <c r="F69" s="47">
        <v>2464342</v>
      </c>
      <c r="G69" s="47"/>
      <c r="H69" s="47"/>
      <c r="I69" s="47">
        <f>3800619-301642</f>
        <v>3498977</v>
      </c>
      <c r="J69" s="47"/>
      <c r="K69" s="47">
        <f t="shared" si="0"/>
        <v>26519430</v>
      </c>
      <c r="L69" s="174">
        <v>4102694</v>
      </c>
      <c r="M69" s="174">
        <v>192874</v>
      </c>
      <c r="N69" s="174">
        <v>108768</v>
      </c>
      <c r="O69" s="47"/>
      <c r="P69" s="47"/>
      <c r="Q69" s="47"/>
      <c r="R69" s="47"/>
      <c r="S69" s="47"/>
      <c r="T69" s="47"/>
      <c r="U69" s="47">
        <f t="shared" si="1"/>
        <v>30923766</v>
      </c>
    </row>
    <row r="70" spans="3:21" ht="13.5" customHeight="1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51" t="s">
        <v>297</v>
      </c>
      <c r="T70" s="47"/>
      <c r="U70" s="47"/>
    </row>
    <row r="71" spans="1:21" ht="13.5" customHeight="1">
      <c r="A71" t="s">
        <v>303</v>
      </c>
      <c r="C71" s="47"/>
      <c r="D71" s="47"/>
      <c r="E71" s="47"/>
      <c r="F71" s="47"/>
      <c r="G71" s="47"/>
      <c r="H71" s="47"/>
      <c r="I71" s="47"/>
      <c r="J71" s="47"/>
      <c r="K71" s="47"/>
      <c r="L71" s="47">
        <f>SUM(L67:L69)</f>
        <v>7730780</v>
      </c>
      <c r="M71" s="47">
        <f>SUM(M67:M69)</f>
        <v>328796</v>
      </c>
      <c r="N71" s="47">
        <f>SUM(N67:N69)</f>
        <v>596842</v>
      </c>
      <c r="O71" s="47"/>
      <c r="P71" s="47"/>
      <c r="Q71" s="47"/>
      <c r="R71" s="47"/>
      <c r="S71" s="51" t="s">
        <v>16</v>
      </c>
      <c r="T71" s="47"/>
      <c r="U71" s="47">
        <f>SUM(U67:U69)</f>
        <v>68642614</v>
      </c>
    </row>
    <row r="72" spans="5:19" ht="13.5" customHeight="1">
      <c r="E72" s="47"/>
      <c r="S72" t="s">
        <v>16</v>
      </c>
    </row>
    <row r="73" ht="13.5" customHeight="1">
      <c r="S73" s="51" t="s">
        <v>16</v>
      </c>
    </row>
  </sheetData>
  <printOptions/>
  <pageMargins left="0.75" right="0.75" top="1" bottom="1" header="0.5" footer="0.5"/>
  <pageSetup fitToHeight="1" fitToWidth="1" horizontalDpi="600" verticalDpi="600" orientation="landscape" paperSize="5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8"/>
  <sheetViews>
    <sheetView workbookViewId="0" topLeftCell="A1">
      <pane xSplit="2" ySplit="5" topLeftCell="C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" sqref="E1:E16384"/>
    </sheetView>
  </sheetViews>
  <sheetFormatPr defaultColWidth="9.140625" defaultRowHeight="12.75"/>
  <cols>
    <col min="1" max="1" width="16.00390625" style="0" customWidth="1"/>
    <col min="2" max="2" width="11.140625" style="0" customWidth="1"/>
    <col min="3" max="3" width="13.57421875" style="0" customWidth="1"/>
    <col min="4" max="5" width="12.28125" style="0" customWidth="1"/>
    <col min="6" max="6" width="14.421875" style="0" customWidth="1"/>
    <col min="7" max="7" width="13.421875" style="0" customWidth="1"/>
    <col min="8" max="9" width="11.28125" style="0" customWidth="1"/>
    <col min="10" max="10" width="3.140625" style="0" customWidth="1"/>
    <col min="11" max="11" width="11.28125" style="0" customWidth="1"/>
    <col min="12" max="12" width="12.28125" style="0" customWidth="1"/>
    <col min="13" max="13" width="12.8515625" style="0" customWidth="1"/>
    <col min="14" max="14" width="13.140625" style="0" customWidth="1"/>
    <col min="15" max="15" width="12.57421875" style="0" customWidth="1"/>
    <col min="16" max="16" width="12.00390625" style="0" customWidth="1"/>
    <col min="17" max="18" width="12.57421875" style="0" customWidth="1"/>
    <col min="19" max="19" width="12.8515625" style="0" customWidth="1"/>
    <col min="20" max="20" width="4.00390625" style="0" customWidth="1"/>
    <col min="21" max="21" width="15.00390625" style="0" customWidth="1"/>
  </cols>
  <sheetData>
    <row r="2" spans="1:12" ht="12.75">
      <c r="A2" t="s">
        <v>4</v>
      </c>
      <c r="L2" t="s">
        <v>295</v>
      </c>
    </row>
    <row r="3" spans="5:21" s="43" customFormat="1" ht="11.25">
      <c r="E3" s="43" t="s">
        <v>500</v>
      </c>
      <c r="F3" s="43" t="s">
        <v>134</v>
      </c>
      <c r="K3" s="43" t="s">
        <v>204</v>
      </c>
      <c r="L3" s="43" t="s">
        <v>16</v>
      </c>
      <c r="N3" s="43" t="s">
        <v>200</v>
      </c>
      <c r="P3" s="43" t="s">
        <v>202</v>
      </c>
      <c r="R3" s="43" t="s">
        <v>181</v>
      </c>
      <c r="U3" s="43" t="s">
        <v>139</v>
      </c>
    </row>
    <row r="4" spans="3:21" s="43" customFormat="1" ht="11.25">
      <c r="C4" s="44" t="s">
        <v>141</v>
      </c>
      <c r="D4" s="44" t="s">
        <v>133</v>
      </c>
      <c r="E4" s="44" t="s">
        <v>136</v>
      </c>
      <c r="F4" s="44" t="s">
        <v>135</v>
      </c>
      <c r="G4" s="44" t="s">
        <v>136</v>
      </c>
      <c r="H4" s="44" t="s">
        <v>137</v>
      </c>
      <c r="I4" s="44" t="s">
        <v>138</v>
      </c>
      <c r="K4" s="44" t="s">
        <v>139</v>
      </c>
      <c r="L4" s="44" t="s">
        <v>129</v>
      </c>
      <c r="M4" s="44" t="s">
        <v>140</v>
      </c>
      <c r="N4" s="44" t="s">
        <v>201</v>
      </c>
      <c r="O4" s="44" t="s">
        <v>154</v>
      </c>
      <c r="P4" s="44" t="s">
        <v>203</v>
      </c>
      <c r="Q4" s="44" t="s">
        <v>180</v>
      </c>
      <c r="R4" s="44" t="s">
        <v>182</v>
      </c>
      <c r="S4" s="44" t="s">
        <v>197</v>
      </c>
      <c r="U4" s="43" t="s">
        <v>4</v>
      </c>
    </row>
    <row r="5" spans="1:11" ht="6.75" customHeight="1">
      <c r="A5" s="19" t="s">
        <v>16</v>
      </c>
      <c r="K5" t="s">
        <v>16</v>
      </c>
    </row>
    <row r="6" spans="1:21" ht="12.75">
      <c r="A6" s="19" t="s">
        <v>142</v>
      </c>
      <c r="C6" s="47">
        <v>200</v>
      </c>
      <c r="D6" s="47"/>
      <c r="E6" s="47"/>
      <c r="F6" s="47">
        <v>10000</v>
      </c>
      <c r="G6" s="47"/>
      <c r="H6" s="47"/>
      <c r="I6" s="47"/>
      <c r="J6" s="47"/>
      <c r="K6" s="47">
        <f aca="true" t="shared" si="0" ref="K6:K68">SUM(C6:I6)</f>
        <v>10200</v>
      </c>
      <c r="L6" s="47"/>
      <c r="M6" s="47"/>
      <c r="N6" s="47"/>
      <c r="O6" s="47"/>
      <c r="P6" s="47"/>
      <c r="Q6" s="47"/>
      <c r="R6" s="47"/>
      <c r="S6" s="47"/>
      <c r="T6" s="47"/>
      <c r="U6" s="47">
        <f>SUM(K6:T6)</f>
        <v>10200</v>
      </c>
    </row>
    <row r="7" spans="1:21" ht="12.75">
      <c r="A7" s="19" t="s">
        <v>143</v>
      </c>
      <c r="C7" s="47">
        <v>62430</v>
      </c>
      <c r="D7" s="47"/>
      <c r="E7" s="47"/>
      <c r="F7" s="47">
        <v>52630</v>
      </c>
      <c r="G7" s="47">
        <v>1200</v>
      </c>
      <c r="H7" s="47"/>
      <c r="I7" s="47">
        <v>823</v>
      </c>
      <c r="J7" s="47"/>
      <c r="K7" s="47">
        <f t="shared" si="0"/>
        <v>117083</v>
      </c>
      <c r="L7" s="47">
        <v>11201</v>
      </c>
      <c r="M7" s="47"/>
      <c r="N7" s="47">
        <v>759</v>
      </c>
      <c r="O7" s="47"/>
      <c r="P7" s="47"/>
      <c r="Q7" s="47"/>
      <c r="R7" s="47"/>
      <c r="S7" s="47"/>
      <c r="T7" s="47"/>
      <c r="U7" s="47">
        <f aca="true" t="shared" si="1" ref="U7:U70">SUM(K7:T7)</f>
        <v>129043</v>
      </c>
    </row>
    <row r="8" spans="1:21" ht="12.75">
      <c r="A8" s="19" t="s">
        <v>144</v>
      </c>
      <c r="C8" s="47">
        <v>113574</v>
      </c>
      <c r="D8" s="47"/>
      <c r="E8" s="47"/>
      <c r="F8" s="47">
        <v>1990</v>
      </c>
      <c r="G8" s="47">
        <v>1950</v>
      </c>
      <c r="H8" s="47"/>
      <c r="I8" s="47">
        <v>845</v>
      </c>
      <c r="J8" s="47"/>
      <c r="K8" s="47">
        <f t="shared" si="0"/>
        <v>118359</v>
      </c>
      <c r="L8" s="47">
        <v>5843</v>
      </c>
      <c r="M8" s="47">
        <v>320</v>
      </c>
      <c r="N8" s="47">
        <v>186</v>
      </c>
      <c r="O8" s="47"/>
      <c r="P8" s="47"/>
      <c r="Q8" s="47"/>
      <c r="R8" s="47"/>
      <c r="S8" s="47"/>
      <c r="T8" s="47"/>
      <c r="U8" s="47">
        <f t="shared" si="1"/>
        <v>124708</v>
      </c>
    </row>
    <row r="9" spans="1:21" ht="12.75">
      <c r="A9" s="19" t="s">
        <v>145</v>
      </c>
      <c r="C9" s="47">
        <v>48162</v>
      </c>
      <c r="D9" s="47"/>
      <c r="E9" s="47"/>
      <c r="F9" s="47">
        <v>5500</v>
      </c>
      <c r="G9" s="47">
        <v>500</v>
      </c>
      <c r="H9" s="47"/>
      <c r="I9" s="47">
        <v>7417</v>
      </c>
      <c r="J9" s="47"/>
      <c r="K9" s="47">
        <f t="shared" si="0"/>
        <v>61579</v>
      </c>
      <c r="L9" s="47">
        <v>38294</v>
      </c>
      <c r="M9" s="47"/>
      <c r="N9" s="47">
        <v>29</v>
      </c>
      <c r="O9" s="47"/>
      <c r="P9" s="47"/>
      <c r="Q9" s="47"/>
      <c r="R9" s="47"/>
      <c r="S9" s="47"/>
      <c r="T9" s="47"/>
      <c r="U9" s="47">
        <f t="shared" si="1"/>
        <v>99902</v>
      </c>
    </row>
    <row r="10" spans="1:21" ht="12.75">
      <c r="A10" s="19" t="s">
        <v>302</v>
      </c>
      <c r="C10" s="47"/>
      <c r="D10" s="47"/>
      <c r="E10" s="47"/>
      <c r="F10" s="47"/>
      <c r="G10" s="47"/>
      <c r="H10" s="47"/>
      <c r="I10" s="47">
        <v>0</v>
      </c>
      <c r="J10" s="47"/>
      <c r="K10" s="47">
        <f t="shared" si="0"/>
        <v>0</v>
      </c>
      <c r="L10" s="47"/>
      <c r="M10" s="47"/>
      <c r="N10" s="47"/>
      <c r="O10" s="47"/>
      <c r="P10" s="47"/>
      <c r="Q10" s="47"/>
      <c r="R10" s="47"/>
      <c r="S10" s="47"/>
      <c r="T10" s="47"/>
      <c r="U10" s="47">
        <f t="shared" si="1"/>
        <v>0</v>
      </c>
    </row>
    <row r="11" spans="1:21" ht="12.75">
      <c r="A11" s="19" t="s">
        <v>146</v>
      </c>
      <c r="C11" s="47"/>
      <c r="D11" s="47"/>
      <c r="E11" s="47"/>
      <c r="F11" s="47">
        <v>27700</v>
      </c>
      <c r="G11" s="47"/>
      <c r="H11" s="47"/>
      <c r="I11" s="47"/>
      <c r="J11" s="47"/>
      <c r="K11" s="47">
        <f t="shared" si="0"/>
        <v>27700</v>
      </c>
      <c r="L11" s="47"/>
      <c r="M11" s="47"/>
      <c r="N11" s="47"/>
      <c r="O11" s="47"/>
      <c r="P11" s="47"/>
      <c r="Q11" s="47"/>
      <c r="R11" s="47"/>
      <c r="S11" s="47"/>
      <c r="T11" s="47"/>
      <c r="U11" s="47">
        <f t="shared" si="1"/>
        <v>27700</v>
      </c>
    </row>
    <row r="12" spans="1:21" ht="12.75">
      <c r="A12" s="19" t="s">
        <v>147</v>
      </c>
      <c r="C12" s="47">
        <v>15472</v>
      </c>
      <c r="D12" s="47"/>
      <c r="E12" s="47"/>
      <c r="F12" s="47">
        <v>5200</v>
      </c>
      <c r="G12" s="47">
        <v>800</v>
      </c>
      <c r="H12" s="47"/>
      <c r="I12" s="47"/>
      <c r="J12" s="47"/>
      <c r="K12" s="47">
        <f t="shared" si="0"/>
        <v>21472</v>
      </c>
      <c r="L12" s="47"/>
      <c r="M12" s="47"/>
      <c r="N12" s="47"/>
      <c r="O12" s="47"/>
      <c r="P12" s="47"/>
      <c r="Q12" s="47"/>
      <c r="R12" s="47"/>
      <c r="S12" s="47"/>
      <c r="T12" s="47"/>
      <c r="U12" s="47">
        <f t="shared" si="1"/>
        <v>21472</v>
      </c>
    </row>
    <row r="13" spans="1:21" ht="12.75">
      <c r="A13" s="19" t="s">
        <v>148</v>
      </c>
      <c r="C13" s="47">
        <v>195687</v>
      </c>
      <c r="D13" s="47">
        <v>1300</v>
      </c>
      <c r="E13" s="47"/>
      <c r="F13" s="51">
        <f>24800-1300</f>
        <v>23500</v>
      </c>
      <c r="G13" s="47">
        <v>1600</v>
      </c>
      <c r="H13" s="47"/>
      <c r="I13" s="47">
        <v>5215</v>
      </c>
      <c r="J13" s="47"/>
      <c r="K13" s="47">
        <f t="shared" si="0"/>
        <v>227302</v>
      </c>
      <c r="L13" s="47">
        <v>11201</v>
      </c>
      <c r="M13" s="47">
        <v>2900</v>
      </c>
      <c r="N13" s="51" t="s">
        <v>16</v>
      </c>
      <c r="O13" s="47"/>
      <c r="P13" s="47"/>
      <c r="Q13" s="47"/>
      <c r="R13" s="47"/>
      <c r="S13" s="47"/>
      <c r="T13" s="47"/>
      <c r="U13" s="47">
        <f t="shared" si="1"/>
        <v>241403</v>
      </c>
    </row>
    <row r="14" spans="1:21" ht="12.75">
      <c r="A14" s="19" t="s">
        <v>306</v>
      </c>
      <c r="C14" s="47">
        <v>111764</v>
      </c>
      <c r="D14" s="47"/>
      <c r="E14" s="47"/>
      <c r="F14" s="51">
        <v>39000</v>
      </c>
      <c r="G14" s="47"/>
      <c r="H14" s="47"/>
      <c r="I14" s="47"/>
      <c r="J14" s="47"/>
      <c r="K14" s="47">
        <f t="shared" si="0"/>
        <v>150764</v>
      </c>
      <c r="L14" s="47">
        <v>11201</v>
      </c>
      <c r="M14" s="47"/>
      <c r="N14" s="51"/>
      <c r="O14" s="47"/>
      <c r="P14" s="47"/>
      <c r="Q14" s="47"/>
      <c r="R14" s="47"/>
      <c r="S14" s="47"/>
      <c r="T14" s="47"/>
      <c r="U14" s="47">
        <f t="shared" si="1"/>
        <v>161965</v>
      </c>
    </row>
    <row r="15" spans="1:21" ht="12.75">
      <c r="A15" s="19" t="s">
        <v>131</v>
      </c>
      <c r="C15" s="47">
        <v>128115</v>
      </c>
      <c r="D15" s="47"/>
      <c r="E15" s="47"/>
      <c r="F15" s="47">
        <v>27950</v>
      </c>
      <c r="G15" s="47">
        <v>2205</v>
      </c>
      <c r="H15" s="47">
        <v>550</v>
      </c>
      <c r="I15" s="47">
        <v>2046</v>
      </c>
      <c r="J15" s="47"/>
      <c r="K15" s="47">
        <f t="shared" si="0"/>
        <v>160866</v>
      </c>
      <c r="L15" s="47">
        <v>22402</v>
      </c>
      <c r="M15" s="47">
        <v>1540</v>
      </c>
      <c r="N15" s="47">
        <v>0</v>
      </c>
      <c r="O15" s="47"/>
      <c r="P15" s="47"/>
      <c r="Q15" s="47"/>
      <c r="R15" s="47"/>
      <c r="S15" s="47"/>
      <c r="T15" s="47"/>
      <c r="U15" s="47">
        <f t="shared" si="1"/>
        <v>184808</v>
      </c>
    </row>
    <row r="16" spans="1:21" ht="12.75">
      <c r="A16" s="19" t="s">
        <v>149</v>
      </c>
      <c r="C16" s="47"/>
      <c r="D16" s="47"/>
      <c r="E16" s="47"/>
      <c r="F16" s="47">
        <v>220000</v>
      </c>
      <c r="G16" s="47"/>
      <c r="H16" s="47"/>
      <c r="I16" s="47">
        <v>5000</v>
      </c>
      <c r="J16" s="47"/>
      <c r="K16" s="47">
        <f t="shared" si="0"/>
        <v>225000</v>
      </c>
      <c r="L16" s="47"/>
      <c r="M16" s="47"/>
      <c r="N16" s="47"/>
      <c r="O16" s="47"/>
      <c r="P16" s="47"/>
      <c r="Q16" s="47"/>
      <c r="R16" s="47"/>
      <c r="S16" s="47"/>
      <c r="T16" s="47"/>
      <c r="U16" s="47">
        <f t="shared" si="1"/>
        <v>225000</v>
      </c>
    </row>
    <row r="17" spans="1:21" ht="12.75">
      <c r="A17" s="19" t="s">
        <v>150</v>
      </c>
      <c r="C17" s="47">
        <v>135425</v>
      </c>
      <c r="D17" s="47">
        <v>350</v>
      </c>
      <c r="E17" s="47"/>
      <c r="F17" s="47">
        <v>56000</v>
      </c>
      <c r="G17" s="47">
        <v>2350</v>
      </c>
      <c r="H17" s="47"/>
      <c r="I17" s="47">
        <v>12540</v>
      </c>
      <c r="J17" s="47"/>
      <c r="K17" s="47">
        <f t="shared" si="0"/>
        <v>206665</v>
      </c>
      <c r="L17" s="47">
        <v>8236</v>
      </c>
      <c r="M17" s="47">
        <v>1370</v>
      </c>
      <c r="N17" s="47">
        <v>227</v>
      </c>
      <c r="O17" s="47"/>
      <c r="P17" s="47"/>
      <c r="Q17" s="47"/>
      <c r="R17" s="47"/>
      <c r="S17" s="47"/>
      <c r="T17" s="47"/>
      <c r="U17" s="47">
        <f t="shared" si="1"/>
        <v>216498</v>
      </c>
    </row>
    <row r="18" spans="1:21" ht="12.75">
      <c r="A18" s="19" t="s">
        <v>151</v>
      </c>
      <c r="C18" s="47">
        <v>197849</v>
      </c>
      <c r="D18" s="47"/>
      <c r="E18" s="47"/>
      <c r="F18" s="47">
        <f>76910+1000+7600</f>
        <v>85510</v>
      </c>
      <c r="G18" s="47">
        <v>4000</v>
      </c>
      <c r="H18" s="47"/>
      <c r="I18" s="47">
        <v>6983</v>
      </c>
      <c r="J18" s="47"/>
      <c r="K18" s="47">
        <f t="shared" si="0"/>
        <v>294342</v>
      </c>
      <c r="L18" s="47">
        <v>26520</v>
      </c>
      <c r="M18" s="47">
        <v>2270</v>
      </c>
      <c r="N18" s="47">
        <v>798</v>
      </c>
      <c r="O18" s="47"/>
      <c r="P18" s="47"/>
      <c r="Q18" s="47"/>
      <c r="R18" s="47"/>
      <c r="S18" s="47"/>
      <c r="T18" s="47"/>
      <c r="U18" s="47">
        <f t="shared" si="1"/>
        <v>323930</v>
      </c>
    </row>
    <row r="19" spans="1:21" ht="12.75">
      <c r="A19" s="19" t="s">
        <v>152</v>
      </c>
      <c r="C19" s="47">
        <v>323020</v>
      </c>
      <c r="D19" s="47"/>
      <c r="E19" s="47"/>
      <c r="F19" s="51">
        <f>122834-20000</f>
        <v>102834</v>
      </c>
      <c r="G19" s="47">
        <v>6500</v>
      </c>
      <c r="H19" s="47"/>
      <c r="I19" s="47">
        <v>3484</v>
      </c>
      <c r="J19" s="47"/>
      <c r="K19" s="47">
        <f t="shared" si="0"/>
        <v>435838</v>
      </c>
      <c r="L19" s="47">
        <v>41840</v>
      </c>
      <c r="M19" s="47">
        <v>2390</v>
      </c>
      <c r="N19" s="47">
        <v>1632</v>
      </c>
      <c r="O19" s="47"/>
      <c r="P19" s="47"/>
      <c r="Q19" s="47"/>
      <c r="R19" s="47"/>
      <c r="S19" s="47"/>
      <c r="T19" s="47"/>
      <c r="U19" s="47">
        <f t="shared" si="1"/>
        <v>481700</v>
      </c>
    </row>
    <row r="20" spans="1:21" ht="12.75">
      <c r="A20" s="19" t="s">
        <v>153</v>
      </c>
      <c r="C20" s="47">
        <v>3279</v>
      </c>
      <c r="D20" s="47"/>
      <c r="E20" s="47"/>
      <c r="F20" s="47">
        <v>17500</v>
      </c>
      <c r="G20" s="47">
        <v>0</v>
      </c>
      <c r="H20" s="47"/>
      <c r="I20" s="47"/>
      <c r="J20" s="47"/>
      <c r="K20" s="47">
        <f t="shared" si="0"/>
        <v>20779</v>
      </c>
      <c r="L20" s="47">
        <v>0</v>
      </c>
      <c r="M20" s="47">
        <v>270</v>
      </c>
      <c r="N20" s="47">
        <v>58</v>
      </c>
      <c r="O20" s="47"/>
      <c r="P20" s="47"/>
      <c r="Q20" s="47"/>
      <c r="R20" s="47"/>
      <c r="S20" s="47"/>
      <c r="T20" s="47"/>
      <c r="U20" s="47">
        <f t="shared" si="1"/>
        <v>21107</v>
      </c>
    </row>
    <row r="21" spans="1:21" ht="12.75">
      <c r="A21" s="19" t="s">
        <v>155</v>
      </c>
      <c r="C21" s="47"/>
      <c r="D21" s="47"/>
      <c r="E21" s="47"/>
      <c r="F21" s="47"/>
      <c r="G21" s="47"/>
      <c r="H21" s="47"/>
      <c r="I21" s="47"/>
      <c r="J21" s="47"/>
      <c r="K21" s="47">
        <f t="shared" si="0"/>
        <v>0</v>
      </c>
      <c r="L21" s="47"/>
      <c r="M21" s="47"/>
      <c r="N21" s="47"/>
      <c r="O21" s="47"/>
      <c r="P21" s="47">
        <v>400000</v>
      </c>
      <c r="Q21" s="47"/>
      <c r="R21" s="47"/>
      <c r="S21" s="47"/>
      <c r="T21" s="47"/>
      <c r="U21" s="47">
        <f t="shared" si="1"/>
        <v>400000</v>
      </c>
    </row>
    <row r="22" spans="1:21" ht="12.75">
      <c r="A22" s="19" t="s">
        <v>154</v>
      </c>
      <c r="C22" s="47"/>
      <c r="D22" s="47"/>
      <c r="E22" s="47"/>
      <c r="F22" s="47"/>
      <c r="G22" s="47"/>
      <c r="H22" s="47"/>
      <c r="I22" s="47"/>
      <c r="J22" s="47"/>
      <c r="K22" s="47">
        <f t="shared" si="0"/>
        <v>0</v>
      </c>
      <c r="L22" s="47"/>
      <c r="M22" s="47"/>
      <c r="N22" s="47"/>
      <c r="O22" s="47">
        <v>2865537</v>
      </c>
      <c r="P22" s="47"/>
      <c r="Q22" s="47"/>
      <c r="R22" s="47"/>
      <c r="S22" s="47"/>
      <c r="T22" s="47"/>
      <c r="U22" s="47">
        <f t="shared" si="1"/>
        <v>2865537</v>
      </c>
    </row>
    <row r="23" spans="1:21" ht="12.75">
      <c r="A23" s="19" t="s">
        <v>199</v>
      </c>
      <c r="C23" s="47">
        <v>0</v>
      </c>
      <c r="D23" s="47"/>
      <c r="E23" s="47"/>
      <c r="F23" s="47" t="s">
        <v>16</v>
      </c>
      <c r="G23" s="47"/>
      <c r="H23" s="47"/>
      <c r="I23" s="47">
        <v>240000</v>
      </c>
      <c r="J23" s="47"/>
      <c r="K23" s="47">
        <f t="shared" si="0"/>
        <v>240000</v>
      </c>
      <c r="L23" s="47">
        <v>1417919</v>
      </c>
      <c r="M23" s="47">
        <v>32000</v>
      </c>
      <c r="N23" s="47">
        <v>219000</v>
      </c>
      <c r="O23" s="47"/>
      <c r="P23" s="47"/>
      <c r="Q23" s="47"/>
      <c r="R23" s="47"/>
      <c r="S23" s="47"/>
      <c r="T23" s="47"/>
      <c r="U23" s="47">
        <f t="shared" si="1"/>
        <v>1908919</v>
      </c>
    </row>
    <row r="24" spans="1:21" ht="12.75">
      <c r="A24" s="19" t="s">
        <v>156</v>
      </c>
      <c r="C24" s="47">
        <v>232768</v>
      </c>
      <c r="D24" s="47"/>
      <c r="E24" s="327"/>
      <c r="F24" s="47">
        <v>9371</v>
      </c>
      <c r="G24" s="47">
        <v>10209</v>
      </c>
      <c r="H24" s="47"/>
      <c r="I24" s="47">
        <v>5835</v>
      </c>
      <c r="J24" s="47"/>
      <c r="K24" s="47">
        <f t="shared" si="0"/>
        <v>258183</v>
      </c>
      <c r="L24" s="47">
        <v>22402</v>
      </c>
      <c r="M24" s="47">
        <v>440</v>
      </c>
      <c r="N24" s="47">
        <v>4718</v>
      </c>
      <c r="O24" s="47"/>
      <c r="P24" s="47"/>
      <c r="Q24" s="47"/>
      <c r="R24" s="47"/>
      <c r="S24" s="47"/>
      <c r="T24" s="47"/>
      <c r="U24" s="47">
        <f t="shared" si="1"/>
        <v>285743</v>
      </c>
    </row>
    <row r="25" spans="1:21" ht="12.75">
      <c r="A25" s="19" t="s">
        <v>157</v>
      </c>
      <c r="C25" s="47">
        <v>558401</v>
      </c>
      <c r="D25" s="47">
        <v>40000</v>
      </c>
      <c r="E25" s="47"/>
      <c r="F25" s="47">
        <v>17500</v>
      </c>
      <c r="G25" s="47">
        <v>3600</v>
      </c>
      <c r="H25" s="47"/>
      <c r="I25" s="47"/>
      <c r="J25" s="47"/>
      <c r="K25" s="47">
        <f t="shared" si="0"/>
        <v>619501</v>
      </c>
      <c r="L25" s="47">
        <v>83679</v>
      </c>
      <c r="M25" s="47">
        <v>4720</v>
      </c>
      <c r="N25" s="47" t="s">
        <v>16</v>
      </c>
      <c r="O25" s="47"/>
      <c r="P25" s="47"/>
      <c r="Q25" s="47"/>
      <c r="R25" s="47"/>
      <c r="S25" s="47"/>
      <c r="T25" s="47"/>
      <c r="U25" s="47">
        <f t="shared" si="1"/>
        <v>707900</v>
      </c>
    </row>
    <row r="26" spans="1:21" ht="12.75">
      <c r="A26" s="19" t="s">
        <v>158</v>
      </c>
      <c r="C26" s="47">
        <v>58516</v>
      </c>
      <c r="D26" s="47"/>
      <c r="E26" s="47"/>
      <c r="F26" s="47">
        <v>4600</v>
      </c>
      <c r="G26" s="47">
        <v>3556</v>
      </c>
      <c r="H26" s="47"/>
      <c r="I26" s="47"/>
      <c r="J26" s="47"/>
      <c r="K26" s="47">
        <f t="shared" si="0"/>
        <v>66672</v>
      </c>
      <c r="L26" s="47">
        <v>4118</v>
      </c>
      <c r="M26" s="47"/>
      <c r="N26" s="47">
        <v>98</v>
      </c>
      <c r="O26" s="47"/>
      <c r="P26" s="47"/>
      <c r="Q26" s="47"/>
      <c r="R26" s="47"/>
      <c r="S26" s="47"/>
      <c r="T26" s="47"/>
      <c r="U26" s="47">
        <f t="shared" si="1"/>
        <v>70888</v>
      </c>
    </row>
    <row r="27" spans="1:21" ht="12.75">
      <c r="A27" s="19" t="s">
        <v>159</v>
      </c>
      <c r="C27" s="51">
        <f>2419000-80000</f>
        <v>2339000</v>
      </c>
      <c r="D27" s="47"/>
      <c r="E27" s="327"/>
      <c r="F27" s="47">
        <v>64125</v>
      </c>
      <c r="G27" s="47">
        <v>56298</v>
      </c>
      <c r="H27" s="47">
        <v>57943</v>
      </c>
      <c r="I27" s="47">
        <v>2263</v>
      </c>
      <c r="J27" s="47"/>
      <c r="K27" s="47">
        <f t="shared" si="0"/>
        <v>2519629</v>
      </c>
      <c r="L27" s="47">
        <v>421078</v>
      </c>
      <c r="M27" s="47">
        <v>26810</v>
      </c>
      <c r="N27" s="47" t="s">
        <v>16</v>
      </c>
      <c r="O27" s="47"/>
      <c r="P27" s="47"/>
      <c r="Q27" s="47"/>
      <c r="R27" s="47"/>
      <c r="S27" s="47"/>
      <c r="T27" s="47"/>
      <c r="U27" s="47">
        <f t="shared" si="1"/>
        <v>2967517</v>
      </c>
    </row>
    <row r="28" spans="1:21" ht="12.75">
      <c r="A28" s="19" t="s">
        <v>160</v>
      </c>
      <c r="C28" s="47">
        <v>358282</v>
      </c>
      <c r="D28" s="47"/>
      <c r="E28" s="327"/>
      <c r="F28" s="47">
        <v>4700</v>
      </c>
      <c r="G28" s="47">
        <v>17827</v>
      </c>
      <c r="H28" s="47"/>
      <c r="I28" s="47">
        <v>210</v>
      </c>
      <c r="J28" s="47"/>
      <c r="K28" s="47">
        <f t="shared" si="0"/>
        <v>381019</v>
      </c>
      <c r="L28" s="47">
        <v>4118</v>
      </c>
      <c r="M28" s="47">
        <v>2510</v>
      </c>
      <c r="N28" s="47">
        <v>5261</v>
      </c>
      <c r="O28" s="47"/>
      <c r="P28" s="47"/>
      <c r="Q28" s="47"/>
      <c r="R28" s="47"/>
      <c r="S28" s="47"/>
      <c r="T28" s="47"/>
      <c r="U28" s="47">
        <f t="shared" si="1"/>
        <v>392908</v>
      </c>
    </row>
    <row r="29" spans="1:21" ht="12.75">
      <c r="A29" s="19" t="s">
        <v>161</v>
      </c>
      <c r="C29" s="47">
        <v>300041</v>
      </c>
      <c r="D29" s="47"/>
      <c r="E29" s="327"/>
      <c r="F29" s="47">
        <v>3930</v>
      </c>
      <c r="G29" s="47">
        <v>11022</v>
      </c>
      <c r="H29" s="47"/>
      <c r="I29" s="47">
        <v>4635</v>
      </c>
      <c r="J29" s="47"/>
      <c r="K29" s="47">
        <f t="shared" si="0"/>
        <v>319628</v>
      </c>
      <c r="L29" s="47"/>
      <c r="M29" s="47">
        <v>2610</v>
      </c>
      <c r="N29" s="47" t="s">
        <v>16</v>
      </c>
      <c r="O29" s="47"/>
      <c r="P29" s="47"/>
      <c r="Q29" s="47"/>
      <c r="R29" s="47"/>
      <c r="S29" s="47"/>
      <c r="T29" s="47"/>
      <c r="U29" s="47">
        <f t="shared" si="1"/>
        <v>322238</v>
      </c>
    </row>
    <row r="30" spans="1:21" ht="12.75">
      <c r="A30" s="19" t="s">
        <v>162</v>
      </c>
      <c r="C30" s="47">
        <v>247505</v>
      </c>
      <c r="D30" s="47"/>
      <c r="E30" s="327"/>
      <c r="F30" s="47">
        <v>8379</v>
      </c>
      <c r="G30" s="47">
        <v>7005</v>
      </c>
      <c r="H30" s="47"/>
      <c r="I30" s="47">
        <v>689</v>
      </c>
      <c r="J30" s="47"/>
      <c r="K30" s="47">
        <f t="shared" si="0"/>
        <v>263578</v>
      </c>
      <c r="L30" s="47">
        <v>4118</v>
      </c>
      <c r="M30" s="47">
        <v>3370</v>
      </c>
      <c r="N30" s="47">
        <v>1135</v>
      </c>
      <c r="O30" s="47"/>
      <c r="P30" s="47"/>
      <c r="Q30" s="47"/>
      <c r="R30" s="47"/>
      <c r="S30" s="47"/>
      <c r="T30" s="47"/>
      <c r="U30" s="47">
        <f t="shared" si="1"/>
        <v>272201</v>
      </c>
    </row>
    <row r="31" spans="1:21" ht="12.75">
      <c r="A31" s="19" t="s">
        <v>163</v>
      </c>
      <c r="C31" s="47">
        <v>216165</v>
      </c>
      <c r="D31" s="47"/>
      <c r="E31" s="47"/>
      <c r="F31" s="47">
        <v>5800</v>
      </c>
      <c r="G31" s="47">
        <v>13750</v>
      </c>
      <c r="H31" s="47"/>
      <c r="I31" s="47">
        <v>2712</v>
      </c>
      <c r="J31" s="47"/>
      <c r="K31" s="47">
        <f t="shared" si="0"/>
        <v>238427</v>
      </c>
      <c r="L31" s="47">
        <v>31211</v>
      </c>
      <c r="M31" s="47">
        <v>0</v>
      </c>
      <c r="N31" s="47" t="s">
        <v>16</v>
      </c>
      <c r="O31" s="47"/>
      <c r="P31" s="47"/>
      <c r="Q31" s="47"/>
      <c r="R31" s="47"/>
      <c r="S31" s="47"/>
      <c r="T31" s="47"/>
      <c r="U31" s="47">
        <f t="shared" si="1"/>
        <v>269638</v>
      </c>
    </row>
    <row r="32" spans="1:21" ht="12.75">
      <c r="A32" s="19" t="s">
        <v>164</v>
      </c>
      <c r="B32" t="s">
        <v>16</v>
      </c>
      <c r="C32" s="47">
        <v>2721664</v>
      </c>
      <c r="D32" s="47"/>
      <c r="E32" s="327"/>
      <c r="F32" s="47">
        <v>14250</v>
      </c>
      <c r="G32" s="47">
        <v>52560</v>
      </c>
      <c r="H32" s="47">
        <v>6050</v>
      </c>
      <c r="I32" s="47">
        <v>2500</v>
      </c>
      <c r="J32" s="47"/>
      <c r="K32" s="47">
        <f t="shared" si="0"/>
        <v>2797024</v>
      </c>
      <c r="L32" s="47">
        <v>400763</v>
      </c>
      <c r="M32" s="47">
        <v>14950</v>
      </c>
      <c r="N32" s="47" t="s">
        <v>16</v>
      </c>
      <c r="O32" s="47"/>
      <c r="P32" s="47"/>
      <c r="Q32" s="47"/>
      <c r="R32" s="47"/>
      <c r="S32" s="47"/>
      <c r="T32" s="47"/>
      <c r="U32" s="47">
        <f t="shared" si="1"/>
        <v>3212737</v>
      </c>
    </row>
    <row r="33" spans="1:21" ht="12.75">
      <c r="A33" s="19" t="s">
        <v>165</v>
      </c>
      <c r="C33" s="47">
        <v>421930</v>
      </c>
      <c r="D33" s="47"/>
      <c r="E33" s="327"/>
      <c r="F33" s="47"/>
      <c r="G33" s="47">
        <v>16640</v>
      </c>
      <c r="H33" s="47">
        <v>1478</v>
      </c>
      <c r="I33" s="47"/>
      <c r="J33" s="47"/>
      <c r="K33" s="47">
        <f t="shared" si="0"/>
        <v>440048</v>
      </c>
      <c r="L33" s="47">
        <v>93727</v>
      </c>
      <c r="M33" s="47">
        <v>8400</v>
      </c>
      <c r="N33" s="47" t="s">
        <v>16</v>
      </c>
      <c r="O33" s="47"/>
      <c r="P33" s="47"/>
      <c r="Q33" s="47"/>
      <c r="R33" s="47"/>
      <c r="S33" s="47"/>
      <c r="T33" s="47"/>
      <c r="U33" s="47">
        <f t="shared" si="1"/>
        <v>542175</v>
      </c>
    </row>
    <row r="34" spans="1:21" ht="12.75">
      <c r="A34" s="19" t="s">
        <v>166</v>
      </c>
      <c r="C34" s="47">
        <v>9000</v>
      </c>
      <c r="D34" s="47"/>
      <c r="E34" s="47"/>
      <c r="F34" s="47">
        <v>2700</v>
      </c>
      <c r="G34" s="47">
        <v>300</v>
      </c>
      <c r="H34" s="47">
        <v>1100</v>
      </c>
      <c r="I34" s="47">
        <v>50</v>
      </c>
      <c r="J34" s="47"/>
      <c r="K34" s="47">
        <f t="shared" si="0"/>
        <v>13150</v>
      </c>
      <c r="L34" s="47"/>
      <c r="M34" s="47"/>
      <c r="N34" s="47"/>
      <c r="O34" s="47"/>
      <c r="P34" s="47"/>
      <c r="Q34" s="47"/>
      <c r="R34" s="47"/>
      <c r="S34" s="47"/>
      <c r="T34" s="47"/>
      <c r="U34" s="47">
        <f t="shared" si="1"/>
        <v>13150</v>
      </c>
    </row>
    <row r="35" spans="1:21" ht="12.75">
      <c r="A35" s="19" t="s">
        <v>167</v>
      </c>
      <c r="C35" s="47">
        <v>128639</v>
      </c>
      <c r="D35" s="47">
        <v>2220</v>
      </c>
      <c r="E35" s="47"/>
      <c r="F35" s="47">
        <f>37759-2220</f>
        <v>35539</v>
      </c>
      <c r="G35" s="47">
        <v>3250</v>
      </c>
      <c r="H35" s="47"/>
      <c r="I35" s="47">
        <v>2233</v>
      </c>
      <c r="J35" s="47"/>
      <c r="K35" s="47">
        <f t="shared" si="0"/>
        <v>171881</v>
      </c>
      <c r="L35" s="47">
        <v>33604</v>
      </c>
      <c r="M35" s="47">
        <v>510</v>
      </c>
      <c r="N35" s="47">
        <v>149</v>
      </c>
      <c r="O35" s="47"/>
      <c r="P35" s="47"/>
      <c r="Q35" s="47"/>
      <c r="R35" s="47"/>
      <c r="S35" s="47"/>
      <c r="T35" s="47"/>
      <c r="U35" s="47">
        <f t="shared" si="1"/>
        <v>206144</v>
      </c>
    </row>
    <row r="36" spans="1:21" ht="12.75">
      <c r="A36" s="19" t="s">
        <v>132</v>
      </c>
      <c r="B36" t="s">
        <v>16</v>
      </c>
      <c r="C36" s="47">
        <v>172903</v>
      </c>
      <c r="D36" s="327"/>
      <c r="E36" s="350"/>
      <c r="F36" s="47">
        <v>22080</v>
      </c>
      <c r="G36" s="47">
        <v>700</v>
      </c>
      <c r="H36" s="47"/>
      <c r="I36" s="47">
        <v>1746</v>
      </c>
      <c r="J36" s="47"/>
      <c r="K36" s="47">
        <f t="shared" si="0"/>
        <v>197429</v>
      </c>
      <c r="L36" s="47">
        <v>15319</v>
      </c>
      <c r="M36" s="47">
        <v>2180</v>
      </c>
      <c r="N36" s="47" t="s">
        <v>16</v>
      </c>
      <c r="O36" s="47"/>
      <c r="P36" s="47"/>
      <c r="Q36" s="47"/>
      <c r="R36" s="47"/>
      <c r="S36" s="47"/>
      <c r="T36" s="47"/>
      <c r="U36" s="47">
        <f t="shared" si="1"/>
        <v>214928</v>
      </c>
    </row>
    <row r="37" spans="1:21" ht="12.75">
      <c r="A37" s="19" t="s">
        <v>168</v>
      </c>
      <c r="C37" s="47">
        <v>73885</v>
      </c>
      <c r="D37" s="47"/>
      <c r="E37" s="327"/>
      <c r="F37" s="47">
        <v>150</v>
      </c>
      <c r="G37" s="47">
        <v>2525</v>
      </c>
      <c r="H37" s="47"/>
      <c r="I37" s="47">
        <v>520</v>
      </c>
      <c r="J37" s="47"/>
      <c r="K37" s="47">
        <f t="shared" si="0"/>
        <v>77080</v>
      </c>
      <c r="L37" s="47">
        <v>11201</v>
      </c>
      <c r="M37" s="47">
        <v>610</v>
      </c>
      <c r="N37" s="47">
        <v>225</v>
      </c>
      <c r="O37" s="47"/>
      <c r="P37" s="47"/>
      <c r="Q37" s="47"/>
      <c r="R37" s="47"/>
      <c r="S37" s="47"/>
      <c r="T37" s="47"/>
      <c r="U37" s="47">
        <f t="shared" si="1"/>
        <v>89116</v>
      </c>
    </row>
    <row r="38" spans="1:21" ht="12.75">
      <c r="A38" s="19" t="s">
        <v>169</v>
      </c>
      <c r="C38" s="47">
        <v>149595</v>
      </c>
      <c r="D38" s="47"/>
      <c r="E38" s="47"/>
      <c r="F38" s="47">
        <v>27935</v>
      </c>
      <c r="G38" s="47">
        <v>500</v>
      </c>
      <c r="H38" s="47"/>
      <c r="I38" s="47">
        <v>1482</v>
      </c>
      <c r="J38" s="47"/>
      <c r="K38" s="47">
        <f t="shared" si="0"/>
        <v>179512</v>
      </c>
      <c r="L38" s="47">
        <v>27093</v>
      </c>
      <c r="M38" s="47">
        <v>1780</v>
      </c>
      <c r="N38" s="47">
        <f>850+219</f>
        <v>1069</v>
      </c>
      <c r="O38" s="47"/>
      <c r="P38" s="47"/>
      <c r="Q38" s="47"/>
      <c r="R38" s="47"/>
      <c r="S38" s="47"/>
      <c r="T38" s="47"/>
      <c r="U38" s="47">
        <f t="shared" si="1"/>
        <v>209454</v>
      </c>
    </row>
    <row r="39" spans="1:21" ht="12.75">
      <c r="A39" s="19" t="s">
        <v>170</v>
      </c>
      <c r="C39" s="47">
        <v>244928</v>
      </c>
      <c r="D39" s="47"/>
      <c r="E39" s="47"/>
      <c r="F39" s="47">
        <v>4280</v>
      </c>
      <c r="G39" s="47">
        <v>4250</v>
      </c>
      <c r="H39" s="47">
        <v>2000</v>
      </c>
      <c r="I39" s="47">
        <v>685</v>
      </c>
      <c r="J39" s="47"/>
      <c r="K39" s="47">
        <f t="shared" si="0"/>
        <v>256143</v>
      </c>
      <c r="L39" s="47">
        <v>37722</v>
      </c>
      <c r="M39" s="47">
        <v>450</v>
      </c>
      <c r="N39" s="47">
        <v>1720</v>
      </c>
      <c r="O39" s="47"/>
      <c r="P39" s="47"/>
      <c r="Q39" s="47"/>
      <c r="R39" s="47"/>
      <c r="S39" s="47"/>
      <c r="T39" s="47"/>
      <c r="U39" s="47">
        <f t="shared" si="1"/>
        <v>296035</v>
      </c>
    </row>
    <row r="40" spans="1:21" ht="12.75">
      <c r="A40" s="19" t="s">
        <v>171</v>
      </c>
      <c r="C40" s="47">
        <v>272080</v>
      </c>
      <c r="D40" s="47"/>
      <c r="E40" s="47"/>
      <c r="F40" s="47">
        <v>291002</v>
      </c>
      <c r="G40" s="47">
        <v>222330</v>
      </c>
      <c r="H40" s="47"/>
      <c r="I40" s="47"/>
      <c r="J40" s="47"/>
      <c r="K40" s="47">
        <f t="shared" si="0"/>
        <v>785412</v>
      </c>
      <c r="L40" s="47">
        <v>22402</v>
      </c>
      <c r="M40" s="47">
        <v>630</v>
      </c>
      <c r="N40" s="47">
        <v>7677</v>
      </c>
      <c r="O40" s="47"/>
      <c r="P40" s="47"/>
      <c r="Q40" s="47"/>
      <c r="R40" s="47"/>
      <c r="S40" s="47"/>
      <c r="T40" s="47"/>
      <c r="U40" s="47">
        <f t="shared" si="1"/>
        <v>816121</v>
      </c>
    </row>
    <row r="41" spans="1:21" ht="12.75">
      <c r="A41" s="19" t="s">
        <v>172</v>
      </c>
      <c r="C41" s="47"/>
      <c r="D41" s="47"/>
      <c r="E41" s="47"/>
      <c r="F41" s="47">
        <v>0</v>
      </c>
      <c r="G41" s="47"/>
      <c r="H41" s="47"/>
      <c r="I41" s="47"/>
      <c r="J41" s="47"/>
      <c r="K41" s="47">
        <f t="shared" si="0"/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>
        <f t="shared" si="1"/>
        <v>0</v>
      </c>
    </row>
    <row r="42" spans="1:21" ht="12.75">
      <c r="A42" s="19" t="s">
        <v>173</v>
      </c>
      <c r="C42" s="48" t="s">
        <v>16</v>
      </c>
      <c r="D42" s="47"/>
      <c r="E42" s="47"/>
      <c r="F42" s="47"/>
      <c r="G42" s="47"/>
      <c r="H42" s="47"/>
      <c r="I42" s="47"/>
      <c r="J42" s="47"/>
      <c r="K42" s="47">
        <f t="shared" si="0"/>
        <v>0</v>
      </c>
      <c r="L42" s="48" t="s">
        <v>16</v>
      </c>
      <c r="M42" s="48" t="s">
        <v>16</v>
      </c>
      <c r="N42" s="48" t="s">
        <v>16</v>
      </c>
      <c r="O42" s="48" t="s">
        <v>16</v>
      </c>
      <c r="P42" s="47"/>
      <c r="Q42" s="47">
        <v>1916591</v>
      </c>
      <c r="R42" s="47"/>
      <c r="S42" s="47"/>
      <c r="T42" s="47"/>
      <c r="U42" s="47">
        <f t="shared" si="1"/>
        <v>1916591</v>
      </c>
    </row>
    <row r="43" spans="1:21" ht="12.75">
      <c r="A43" s="19" t="s">
        <v>174</v>
      </c>
      <c r="C43" s="47"/>
      <c r="D43" s="47"/>
      <c r="E43" s="47"/>
      <c r="F43" s="47"/>
      <c r="G43" s="47"/>
      <c r="H43" s="47"/>
      <c r="I43" s="47"/>
      <c r="J43" s="47"/>
      <c r="K43" s="47">
        <f t="shared" si="0"/>
        <v>0</v>
      </c>
      <c r="L43" s="47"/>
      <c r="M43" s="47"/>
      <c r="N43" s="47"/>
      <c r="O43" s="47"/>
      <c r="P43" s="47"/>
      <c r="Q43" s="47">
        <v>3681667</v>
      </c>
      <c r="R43" s="47"/>
      <c r="S43" s="47"/>
      <c r="T43" s="47"/>
      <c r="U43" s="47">
        <f t="shared" si="1"/>
        <v>3681667</v>
      </c>
    </row>
    <row r="44" spans="1:21" ht="12.75">
      <c r="A44" s="19" t="s">
        <v>175</v>
      </c>
      <c r="C44" s="48" t="s">
        <v>16</v>
      </c>
      <c r="D44" s="47"/>
      <c r="E44" s="47"/>
      <c r="F44" s="47"/>
      <c r="G44" s="47"/>
      <c r="H44" s="47"/>
      <c r="I44" s="47"/>
      <c r="J44" s="47"/>
      <c r="K44" s="47">
        <f t="shared" si="0"/>
        <v>0</v>
      </c>
      <c r="L44" s="47"/>
      <c r="M44" s="48" t="s">
        <v>16</v>
      </c>
      <c r="N44" s="49" t="s">
        <v>16</v>
      </c>
      <c r="O44" s="47"/>
      <c r="P44" s="47"/>
      <c r="Q44" s="47">
        <v>222307</v>
      </c>
      <c r="R44" s="47"/>
      <c r="S44" s="47"/>
      <c r="T44" s="47"/>
      <c r="U44" s="47">
        <f t="shared" si="1"/>
        <v>222307</v>
      </c>
    </row>
    <row r="45" spans="1:21" ht="12.75">
      <c r="A45" s="19" t="s">
        <v>176</v>
      </c>
      <c r="C45" s="47">
        <v>262390</v>
      </c>
      <c r="D45" s="47">
        <v>1630</v>
      </c>
      <c r="E45" s="327"/>
      <c r="F45" s="47">
        <v>7759</v>
      </c>
      <c r="G45" s="47">
        <v>129370</v>
      </c>
      <c r="H45" s="47">
        <v>1950</v>
      </c>
      <c r="I45" s="47"/>
      <c r="J45" s="47"/>
      <c r="K45" s="47">
        <f t="shared" si="0"/>
        <v>403099</v>
      </c>
      <c r="L45" s="47">
        <v>33604</v>
      </c>
      <c r="M45" s="47">
        <v>3080</v>
      </c>
      <c r="N45" s="47">
        <v>10852</v>
      </c>
      <c r="O45" s="47"/>
      <c r="P45" s="47"/>
      <c r="Q45" s="47"/>
      <c r="R45" s="47"/>
      <c r="S45" s="47"/>
      <c r="T45" s="47"/>
      <c r="U45" s="47">
        <f t="shared" si="1"/>
        <v>450635</v>
      </c>
    </row>
    <row r="46" spans="1:21" ht="12.75">
      <c r="A46" s="19" t="s">
        <v>177</v>
      </c>
      <c r="C46" s="47">
        <v>30632</v>
      </c>
      <c r="D46" s="47"/>
      <c r="E46" s="47"/>
      <c r="F46" s="47">
        <v>143743</v>
      </c>
      <c r="G46" s="47">
        <v>12500</v>
      </c>
      <c r="H46" s="47"/>
      <c r="I46" s="47">
        <v>262</v>
      </c>
      <c r="J46" s="47"/>
      <c r="K46" s="47">
        <f t="shared" si="0"/>
        <v>187137</v>
      </c>
      <c r="L46" s="47">
        <v>4118</v>
      </c>
      <c r="M46" s="50">
        <v>340</v>
      </c>
      <c r="N46" s="50">
        <v>1693</v>
      </c>
      <c r="O46" s="47"/>
      <c r="P46" s="47"/>
      <c r="Q46" s="47"/>
      <c r="R46" s="47"/>
      <c r="S46" s="47"/>
      <c r="T46" s="47"/>
      <c r="U46" s="47">
        <f t="shared" si="1"/>
        <v>193288</v>
      </c>
    </row>
    <row r="47" spans="1:21" ht="12.75">
      <c r="A47" s="19" t="s">
        <v>178</v>
      </c>
      <c r="C47" s="47">
        <v>60426</v>
      </c>
      <c r="D47" s="47"/>
      <c r="E47" s="47"/>
      <c r="F47" s="47"/>
      <c r="G47" s="47">
        <v>8000</v>
      </c>
      <c r="H47" s="47"/>
      <c r="I47" s="47"/>
      <c r="J47" s="47"/>
      <c r="K47" s="47">
        <f t="shared" si="0"/>
        <v>68426</v>
      </c>
      <c r="L47" s="47">
        <v>4118</v>
      </c>
      <c r="M47" s="50">
        <v>720</v>
      </c>
      <c r="N47" s="50">
        <v>2728</v>
      </c>
      <c r="O47" s="47"/>
      <c r="P47" s="47"/>
      <c r="Q47" s="47"/>
      <c r="R47" s="47"/>
      <c r="S47" s="47"/>
      <c r="T47" s="47"/>
      <c r="U47" s="47">
        <f t="shared" si="1"/>
        <v>75992</v>
      </c>
    </row>
    <row r="48" spans="1:21" ht="12.75">
      <c r="A48" s="19" t="s">
        <v>179</v>
      </c>
      <c r="C48" s="47">
        <v>73031</v>
      </c>
      <c r="D48" s="47"/>
      <c r="E48" s="47"/>
      <c r="F48" s="47"/>
      <c r="G48" s="47">
        <v>16530</v>
      </c>
      <c r="H48" s="47"/>
      <c r="I48" s="47"/>
      <c r="J48" s="47"/>
      <c r="K48" s="47">
        <f t="shared" si="0"/>
        <v>89561</v>
      </c>
      <c r="L48" s="47">
        <v>22402</v>
      </c>
      <c r="M48" s="47"/>
      <c r="N48" s="50">
        <v>5148</v>
      </c>
      <c r="O48" s="47"/>
      <c r="P48" s="47"/>
      <c r="Q48" s="47"/>
      <c r="R48" s="47">
        <v>2626428</v>
      </c>
      <c r="S48" s="47"/>
      <c r="T48" s="47"/>
      <c r="U48" s="47">
        <f t="shared" si="1"/>
        <v>2743539</v>
      </c>
    </row>
    <row r="49" spans="1:21" ht="12.75">
      <c r="A49" s="19" t="s">
        <v>183</v>
      </c>
      <c r="C49" s="47"/>
      <c r="D49" s="47">
        <v>190000</v>
      </c>
      <c r="E49" s="47"/>
      <c r="F49" s="47" t="s">
        <v>16</v>
      </c>
      <c r="G49" s="47"/>
      <c r="H49" s="47"/>
      <c r="I49" s="47"/>
      <c r="J49" s="47"/>
      <c r="K49" s="47">
        <f t="shared" si="0"/>
        <v>190000</v>
      </c>
      <c r="L49" s="47"/>
      <c r="M49" s="47"/>
      <c r="N49" s="47"/>
      <c r="O49" s="47"/>
      <c r="P49" s="47"/>
      <c r="Q49" s="47"/>
      <c r="R49" s="47"/>
      <c r="S49" s="47"/>
      <c r="T49" s="47"/>
      <c r="U49" s="47">
        <f t="shared" si="1"/>
        <v>190000</v>
      </c>
    </row>
    <row r="50" spans="1:21" ht="12.75">
      <c r="A50" s="19" t="s">
        <v>184</v>
      </c>
      <c r="C50" s="47">
        <v>187615</v>
      </c>
      <c r="D50" s="47">
        <f>55000+80085+9000+33000+7000</f>
        <v>184085</v>
      </c>
      <c r="E50" s="327"/>
      <c r="F50" s="47">
        <f>42100+29200+8600+2400+22130-6000</f>
        <v>98430</v>
      </c>
      <c r="G50" s="47">
        <v>15250</v>
      </c>
      <c r="H50" s="47">
        <v>0</v>
      </c>
      <c r="I50" s="47">
        <v>0</v>
      </c>
      <c r="J50" s="47"/>
      <c r="K50" s="47">
        <f t="shared" si="0"/>
        <v>485380</v>
      </c>
      <c r="L50" s="47">
        <v>22403</v>
      </c>
      <c r="M50" s="47">
        <v>4510</v>
      </c>
      <c r="N50" s="47">
        <v>6827</v>
      </c>
      <c r="O50" s="47"/>
      <c r="P50" s="47"/>
      <c r="Q50" s="47"/>
      <c r="R50" s="47"/>
      <c r="S50" s="47"/>
      <c r="T50" s="47"/>
      <c r="U50" s="47">
        <f t="shared" si="1"/>
        <v>519120</v>
      </c>
    </row>
    <row r="51" spans="1:21" ht="12.75">
      <c r="A51" s="19" t="s">
        <v>185</v>
      </c>
      <c r="C51" s="47">
        <v>246727</v>
      </c>
      <c r="D51" s="47">
        <v>60000</v>
      </c>
      <c r="E51" s="327"/>
      <c r="F51" s="47">
        <v>27100</v>
      </c>
      <c r="G51" s="47">
        <v>59780</v>
      </c>
      <c r="H51" s="47">
        <v>8600</v>
      </c>
      <c r="I51" s="47"/>
      <c r="J51" s="47"/>
      <c r="K51" s="47">
        <f t="shared" si="0"/>
        <v>402207</v>
      </c>
      <c r="L51" s="47">
        <v>34757</v>
      </c>
      <c r="M51" s="47"/>
      <c r="N51" s="47"/>
      <c r="O51" s="47"/>
      <c r="P51" s="47"/>
      <c r="Q51" s="47"/>
      <c r="R51" s="47"/>
      <c r="S51" s="47"/>
      <c r="T51" s="47"/>
      <c r="U51" s="47">
        <f t="shared" si="1"/>
        <v>436964</v>
      </c>
    </row>
    <row r="52" spans="1:21" ht="12.75">
      <c r="A52" s="19" t="s">
        <v>130</v>
      </c>
      <c r="C52" s="47">
        <v>232090</v>
      </c>
      <c r="D52" s="47">
        <v>10146</v>
      </c>
      <c r="E52" s="327"/>
      <c r="F52" s="47">
        <v>7150</v>
      </c>
      <c r="G52" s="47">
        <v>22712</v>
      </c>
      <c r="H52" s="47"/>
      <c r="I52" s="47">
        <v>80</v>
      </c>
      <c r="J52" s="47"/>
      <c r="K52" s="47">
        <f t="shared" si="0"/>
        <v>272178</v>
      </c>
      <c r="L52" s="47">
        <v>37722</v>
      </c>
      <c r="M52" s="47">
        <v>820</v>
      </c>
      <c r="N52" s="47">
        <v>5431</v>
      </c>
      <c r="O52" s="47"/>
      <c r="P52" s="47"/>
      <c r="Q52" s="47"/>
      <c r="R52" s="47"/>
      <c r="S52" s="47"/>
      <c r="T52" s="47"/>
      <c r="U52" s="47">
        <f t="shared" si="1"/>
        <v>316151</v>
      </c>
    </row>
    <row r="53" spans="1:21" ht="12.75">
      <c r="A53" s="19" t="s">
        <v>129</v>
      </c>
      <c r="C53" s="47">
        <v>190336</v>
      </c>
      <c r="D53" s="47"/>
      <c r="E53" s="47"/>
      <c r="F53" s="47">
        <v>12705</v>
      </c>
      <c r="G53" s="47">
        <v>2560</v>
      </c>
      <c r="H53" s="47"/>
      <c r="I53" s="47">
        <v>1857</v>
      </c>
      <c r="J53" s="47"/>
      <c r="K53" s="47">
        <f t="shared" si="0"/>
        <v>207458</v>
      </c>
      <c r="L53" s="47">
        <v>19437</v>
      </c>
      <c r="M53" s="47">
        <v>1760</v>
      </c>
      <c r="N53" s="47">
        <v>165</v>
      </c>
      <c r="O53" s="47"/>
      <c r="P53" s="47"/>
      <c r="Q53" s="47"/>
      <c r="R53" s="47"/>
      <c r="S53" s="47"/>
      <c r="T53" s="47"/>
      <c r="U53" s="47">
        <f t="shared" si="1"/>
        <v>228820</v>
      </c>
    </row>
    <row r="54" spans="1:21" ht="12.75">
      <c r="A54" s="19" t="s">
        <v>186</v>
      </c>
      <c r="C54" s="47">
        <v>42477</v>
      </c>
      <c r="D54" s="47"/>
      <c r="E54" s="327"/>
      <c r="F54" s="47">
        <v>20110</v>
      </c>
      <c r="G54" s="47">
        <v>2800</v>
      </c>
      <c r="H54" s="47"/>
      <c r="I54" s="47">
        <v>946</v>
      </c>
      <c r="J54" s="47"/>
      <c r="K54" s="47">
        <f t="shared" si="0"/>
        <v>66333</v>
      </c>
      <c r="L54" s="47">
        <v>0</v>
      </c>
      <c r="M54" s="47">
        <v>480</v>
      </c>
      <c r="N54" s="47" t="s">
        <v>16</v>
      </c>
      <c r="O54" s="47"/>
      <c r="P54" s="47"/>
      <c r="Q54" s="47"/>
      <c r="R54" s="47"/>
      <c r="S54" s="47"/>
      <c r="T54" s="47"/>
      <c r="U54" s="47">
        <f t="shared" si="1"/>
        <v>66813</v>
      </c>
    </row>
    <row r="55" spans="1:21" ht="12.75">
      <c r="A55" s="19" t="s">
        <v>307</v>
      </c>
      <c r="C55" s="47">
        <v>5000</v>
      </c>
      <c r="D55" s="47"/>
      <c r="E55" s="47"/>
      <c r="F55" s="47"/>
      <c r="G55" s="47">
        <v>435</v>
      </c>
      <c r="H55" s="47"/>
      <c r="I55" s="47"/>
      <c r="J55" s="47"/>
      <c r="K55" s="47">
        <f t="shared" si="0"/>
        <v>5435</v>
      </c>
      <c r="L55" s="47"/>
      <c r="M55" s="47"/>
      <c r="N55" s="47"/>
      <c r="O55" s="47"/>
      <c r="P55" s="47"/>
      <c r="Q55" s="47"/>
      <c r="R55" s="47"/>
      <c r="S55" s="47"/>
      <c r="T55" s="47"/>
      <c r="U55" s="47">
        <f t="shared" si="1"/>
        <v>5435</v>
      </c>
    </row>
    <row r="56" spans="1:21" ht="12.75">
      <c r="A56" s="19" t="s">
        <v>187</v>
      </c>
      <c r="C56" s="47"/>
      <c r="D56" s="47"/>
      <c r="E56" s="47"/>
      <c r="F56" s="47">
        <v>0</v>
      </c>
      <c r="G56" s="47"/>
      <c r="H56" s="47"/>
      <c r="I56" s="47"/>
      <c r="J56" s="47"/>
      <c r="K56" s="47">
        <f t="shared" si="0"/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>
        <f t="shared" si="1"/>
        <v>0</v>
      </c>
    </row>
    <row r="57" spans="1:21" ht="12.75">
      <c r="A57" s="19" t="s">
        <v>188</v>
      </c>
      <c r="C57" s="47">
        <v>256190</v>
      </c>
      <c r="D57" s="47"/>
      <c r="E57" s="47"/>
      <c r="F57" s="47">
        <v>145500</v>
      </c>
      <c r="G57" s="47">
        <v>6350</v>
      </c>
      <c r="H57" s="47"/>
      <c r="I57" s="47">
        <v>800</v>
      </c>
      <c r="J57" s="47"/>
      <c r="K57" s="47">
        <f t="shared" si="0"/>
        <v>408840</v>
      </c>
      <c r="L57" s="47">
        <v>51800</v>
      </c>
      <c r="M57" s="47">
        <v>3690</v>
      </c>
      <c r="N57" s="47">
        <v>155</v>
      </c>
      <c r="O57" s="47"/>
      <c r="P57" s="47"/>
      <c r="Q57" s="47"/>
      <c r="R57" s="47"/>
      <c r="S57" s="47"/>
      <c r="T57" s="47"/>
      <c r="U57" s="47">
        <f t="shared" si="1"/>
        <v>464485</v>
      </c>
    </row>
    <row r="58" spans="1:21" ht="12.75">
      <c r="A58" s="19" t="s">
        <v>189</v>
      </c>
      <c r="C58" s="47">
        <v>12000</v>
      </c>
      <c r="D58" s="47"/>
      <c r="E58" s="47"/>
      <c r="F58" s="47"/>
      <c r="G58" s="47">
        <v>175</v>
      </c>
      <c r="H58" s="47"/>
      <c r="I58" s="47">
        <v>7075</v>
      </c>
      <c r="J58" s="47"/>
      <c r="K58" s="47">
        <f t="shared" si="0"/>
        <v>19250</v>
      </c>
      <c r="L58" s="47"/>
      <c r="M58" s="47"/>
      <c r="N58" s="47"/>
      <c r="O58" s="47"/>
      <c r="P58" s="47"/>
      <c r="Q58" s="47"/>
      <c r="R58" s="47"/>
      <c r="S58" s="47"/>
      <c r="T58" s="47"/>
      <c r="U58" s="47">
        <f t="shared" si="1"/>
        <v>19250</v>
      </c>
    </row>
    <row r="59" spans="1:21" ht="12.75">
      <c r="A59" s="19" t="s">
        <v>190</v>
      </c>
      <c r="C59" s="47">
        <v>43775</v>
      </c>
      <c r="D59" s="47"/>
      <c r="E59" s="47"/>
      <c r="F59" s="47">
        <v>9261</v>
      </c>
      <c r="G59" s="47">
        <v>1200</v>
      </c>
      <c r="H59" s="47"/>
      <c r="I59" s="47"/>
      <c r="J59" s="47"/>
      <c r="K59" s="47">
        <f t="shared" si="0"/>
        <v>54236</v>
      </c>
      <c r="L59" s="47">
        <v>0</v>
      </c>
      <c r="M59" s="47">
        <v>660</v>
      </c>
      <c r="N59" s="47" t="s">
        <v>16</v>
      </c>
      <c r="O59" s="47"/>
      <c r="P59" s="47"/>
      <c r="Q59" s="47"/>
      <c r="R59" s="47"/>
      <c r="S59" s="47"/>
      <c r="T59" s="47"/>
      <c r="U59" s="47">
        <f t="shared" si="1"/>
        <v>54896</v>
      </c>
    </row>
    <row r="60" spans="1:21" ht="12.75">
      <c r="A60" s="19" t="s">
        <v>191</v>
      </c>
      <c r="C60" s="47">
        <v>163292</v>
      </c>
      <c r="D60" s="47">
        <v>54776</v>
      </c>
      <c r="E60" s="327"/>
      <c r="F60" s="47">
        <v>76584</v>
      </c>
      <c r="G60" s="47">
        <v>9450</v>
      </c>
      <c r="H60" s="47"/>
      <c r="I60" s="47">
        <v>1375</v>
      </c>
      <c r="J60" s="47"/>
      <c r="K60" s="47">
        <f t="shared" si="0"/>
        <v>305477</v>
      </c>
      <c r="L60" s="47">
        <v>38779</v>
      </c>
      <c r="M60" s="47">
        <v>1470</v>
      </c>
      <c r="N60" s="47">
        <v>734</v>
      </c>
      <c r="O60" s="47"/>
      <c r="P60" s="47"/>
      <c r="Q60" s="47"/>
      <c r="R60" s="47"/>
      <c r="S60" s="47"/>
      <c r="T60" s="47"/>
      <c r="U60" s="47">
        <f t="shared" si="1"/>
        <v>346460</v>
      </c>
    </row>
    <row r="61" spans="1:21" ht="12.75">
      <c r="A61" s="19" t="s">
        <v>192</v>
      </c>
      <c r="C61" s="47">
        <v>646567</v>
      </c>
      <c r="D61" s="47">
        <v>10627</v>
      </c>
      <c r="E61" s="47"/>
      <c r="F61" s="47">
        <v>2050</v>
      </c>
      <c r="G61" s="47">
        <v>227720</v>
      </c>
      <c r="H61" s="47"/>
      <c r="I61" s="47">
        <v>355</v>
      </c>
      <c r="J61" s="47"/>
      <c r="K61" s="47">
        <f t="shared" si="0"/>
        <v>887319</v>
      </c>
      <c r="L61" s="47">
        <v>65395</v>
      </c>
      <c r="M61" s="47">
        <v>4970</v>
      </c>
      <c r="N61" s="47">
        <v>718</v>
      </c>
      <c r="O61" s="47"/>
      <c r="P61" s="47"/>
      <c r="Q61" s="47"/>
      <c r="R61" s="47"/>
      <c r="S61" s="47"/>
      <c r="T61" s="47"/>
      <c r="U61" s="47">
        <f t="shared" si="1"/>
        <v>958402</v>
      </c>
    </row>
    <row r="62" spans="1:21" ht="12.75">
      <c r="A62" s="19" t="s">
        <v>193</v>
      </c>
      <c r="C62" s="47">
        <v>137335</v>
      </c>
      <c r="D62" s="47"/>
      <c r="E62" s="47"/>
      <c r="F62" s="47">
        <v>47338</v>
      </c>
      <c r="G62" s="47">
        <v>11000</v>
      </c>
      <c r="H62" s="47"/>
      <c r="I62" s="47">
        <v>70</v>
      </c>
      <c r="J62" s="47"/>
      <c r="K62" s="47">
        <f t="shared" si="0"/>
        <v>195743</v>
      </c>
      <c r="L62" s="47">
        <v>21735</v>
      </c>
      <c r="M62" s="47">
        <v>360</v>
      </c>
      <c r="N62" s="47">
        <v>54</v>
      </c>
      <c r="O62" s="47"/>
      <c r="P62" s="47"/>
      <c r="Q62" s="47"/>
      <c r="R62" s="47"/>
      <c r="S62" s="47"/>
      <c r="T62" s="47"/>
      <c r="U62" s="47">
        <f t="shared" si="1"/>
        <v>217892</v>
      </c>
    </row>
    <row r="63" spans="1:21" ht="12.75">
      <c r="A63" s="19" t="s">
        <v>194</v>
      </c>
      <c r="C63" s="47">
        <f>59790+44000</f>
        <v>103790</v>
      </c>
      <c r="D63" s="47"/>
      <c r="E63" s="47"/>
      <c r="F63" s="47">
        <v>200</v>
      </c>
      <c r="G63" s="47">
        <v>2500</v>
      </c>
      <c r="H63" s="47"/>
      <c r="I63" s="47">
        <v>300</v>
      </c>
      <c r="J63" s="47"/>
      <c r="K63" s="47">
        <f t="shared" si="0"/>
        <v>106790</v>
      </c>
      <c r="L63" s="47">
        <v>19437</v>
      </c>
      <c r="M63" s="47"/>
      <c r="N63" s="47">
        <v>3095</v>
      </c>
      <c r="O63" s="47"/>
      <c r="P63" s="47"/>
      <c r="Q63" s="47"/>
      <c r="R63" s="47"/>
      <c r="S63" s="47"/>
      <c r="T63" s="47"/>
      <c r="U63" s="47">
        <f t="shared" si="1"/>
        <v>129322</v>
      </c>
    </row>
    <row r="64" spans="1:21" ht="12.75">
      <c r="A64" s="19" t="s">
        <v>195</v>
      </c>
      <c r="C64" s="47">
        <v>370703</v>
      </c>
      <c r="D64" s="47">
        <v>2000</v>
      </c>
      <c r="E64" s="47"/>
      <c r="F64" s="47">
        <v>46300</v>
      </c>
      <c r="G64" s="47">
        <v>26000</v>
      </c>
      <c r="H64" s="47"/>
      <c r="I64" s="47">
        <v>2000</v>
      </c>
      <c r="J64" s="47"/>
      <c r="K64" s="47">
        <f t="shared" si="0"/>
        <v>447003</v>
      </c>
      <c r="L64" s="47">
        <v>15892</v>
      </c>
      <c r="M64" s="47">
        <v>3490</v>
      </c>
      <c r="N64" s="47">
        <v>5757</v>
      </c>
      <c r="O64" s="47"/>
      <c r="P64" s="47"/>
      <c r="Q64" s="47"/>
      <c r="R64" s="47"/>
      <c r="S64" s="47"/>
      <c r="T64" s="47"/>
      <c r="U64" s="47">
        <f t="shared" si="1"/>
        <v>472142</v>
      </c>
    </row>
    <row r="65" spans="1:21" ht="12.75">
      <c r="A65" s="19" t="s">
        <v>196</v>
      </c>
      <c r="C65" s="47"/>
      <c r="D65" s="47"/>
      <c r="E65" s="47"/>
      <c r="F65" s="47"/>
      <c r="G65" s="47"/>
      <c r="H65" s="47"/>
      <c r="I65" s="47"/>
      <c r="J65" s="47"/>
      <c r="K65" s="47">
        <f t="shared" si="0"/>
        <v>0</v>
      </c>
      <c r="L65" s="47"/>
      <c r="M65" s="47"/>
      <c r="N65" s="47"/>
      <c r="O65" s="47"/>
      <c r="P65" s="47"/>
      <c r="Q65" s="47"/>
      <c r="R65" s="47"/>
      <c r="S65" s="47">
        <f>'Debt Schedule'!$H$48-257950-169408+30000</f>
        <v>4018918</v>
      </c>
      <c r="T65" s="47"/>
      <c r="U65" s="47">
        <f t="shared" si="1"/>
        <v>4018918</v>
      </c>
    </row>
    <row r="66" spans="1:21" ht="12.75">
      <c r="A66" s="19" t="s">
        <v>198</v>
      </c>
      <c r="C66" s="47"/>
      <c r="D66" s="47"/>
      <c r="E66" s="47"/>
      <c r="F66" s="47"/>
      <c r="G66" s="47"/>
      <c r="H66" s="47" t="s">
        <v>16</v>
      </c>
      <c r="I66" s="47"/>
      <c r="J66" s="47"/>
      <c r="K66" s="47">
        <f t="shared" si="0"/>
        <v>0</v>
      </c>
      <c r="L66" s="47"/>
      <c r="M66" s="47"/>
      <c r="N66" s="47" t="s">
        <v>16</v>
      </c>
      <c r="O66" s="47"/>
      <c r="P66" s="47"/>
      <c r="Q66" s="47"/>
      <c r="R66" s="47"/>
      <c r="S66" s="47"/>
      <c r="T66" s="47"/>
      <c r="U66" s="47">
        <f t="shared" si="1"/>
        <v>0</v>
      </c>
    </row>
    <row r="67" spans="3:21" ht="12.75">
      <c r="C67" s="47"/>
      <c r="D67" s="47"/>
      <c r="E67" s="47"/>
      <c r="F67" s="47"/>
      <c r="G67" s="47"/>
      <c r="H67" s="47"/>
      <c r="I67" s="47"/>
      <c r="J67" s="47"/>
      <c r="K67" s="47">
        <f t="shared" si="0"/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>
        <f t="shared" si="1"/>
        <v>0</v>
      </c>
    </row>
    <row r="68" spans="3:21" ht="12.75">
      <c r="C68" s="47">
        <f aca="true" t="shared" si="2" ref="C68:H68">SUM(C6:C66)</f>
        <v>12904655</v>
      </c>
      <c r="D68" s="47">
        <f t="shared" si="2"/>
        <v>557134</v>
      </c>
      <c r="E68" s="47">
        <f t="shared" si="2"/>
        <v>0</v>
      </c>
      <c r="F68" s="47">
        <f t="shared" si="2"/>
        <v>1835885</v>
      </c>
      <c r="G68" s="47">
        <f t="shared" si="2"/>
        <v>1001759</v>
      </c>
      <c r="H68" s="47">
        <f t="shared" si="2"/>
        <v>79671</v>
      </c>
      <c r="I68" s="47">
        <f>SUM(I6:I66)-5000</f>
        <v>320033</v>
      </c>
      <c r="J68" s="51" t="s">
        <v>16</v>
      </c>
      <c r="K68" s="47">
        <f t="shared" si="0"/>
        <v>16699137</v>
      </c>
      <c r="L68" s="47">
        <f aca="true" t="shared" si="3" ref="L68:S68">SUM(L6:L66)</f>
        <v>3198811</v>
      </c>
      <c r="M68" s="47">
        <f t="shared" si="3"/>
        <v>139380</v>
      </c>
      <c r="N68" s="47">
        <f>SUM(N6:N66)</f>
        <v>288098</v>
      </c>
      <c r="O68" s="47">
        <f t="shared" si="3"/>
        <v>2865537</v>
      </c>
      <c r="P68" s="47">
        <f t="shared" si="3"/>
        <v>400000</v>
      </c>
      <c r="Q68" s="47">
        <f t="shared" si="3"/>
        <v>5820565</v>
      </c>
      <c r="R68" s="47">
        <f t="shared" si="3"/>
        <v>2626428</v>
      </c>
      <c r="S68" s="47">
        <f t="shared" si="3"/>
        <v>4018918</v>
      </c>
      <c r="T68" s="47" t="s">
        <v>16</v>
      </c>
      <c r="U68" s="47">
        <f t="shared" si="1"/>
        <v>36056874</v>
      </c>
    </row>
    <row r="69" spans="3:21" ht="12.75">
      <c r="C69" s="47"/>
      <c r="D69" s="47"/>
      <c r="E69" s="47"/>
      <c r="F69" s="47"/>
      <c r="G69" s="47"/>
      <c r="H69" s="47"/>
      <c r="I69" s="51" t="s">
        <v>295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 t="s">
        <v>16</v>
      </c>
    </row>
    <row r="70" spans="1:21" ht="12.75">
      <c r="A70" t="s">
        <v>285</v>
      </c>
      <c r="C70" s="47"/>
      <c r="D70" s="47"/>
      <c r="E70" s="47"/>
      <c r="F70" s="47"/>
      <c r="G70" s="47"/>
      <c r="H70" s="47"/>
      <c r="I70" s="47"/>
      <c r="J70" s="47"/>
      <c r="K70" s="47"/>
      <c r="L70" s="174">
        <f>2608558+1002461</f>
        <v>3611019</v>
      </c>
      <c r="M70" s="174">
        <v>192874</v>
      </c>
      <c r="N70" s="174">
        <v>108768</v>
      </c>
      <c r="O70" s="47"/>
      <c r="P70" s="47"/>
      <c r="Q70" s="47"/>
      <c r="R70" s="47"/>
      <c r="S70" s="47"/>
      <c r="T70" s="47"/>
      <c r="U70" s="47">
        <f t="shared" si="1"/>
        <v>3912661</v>
      </c>
    </row>
    <row r="71" spans="3:21" ht="12.7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51" t="s">
        <v>297</v>
      </c>
      <c r="T71" s="47"/>
      <c r="U71" s="47"/>
    </row>
    <row r="72" spans="1:21" ht="12.75">
      <c r="A72" t="s">
        <v>303</v>
      </c>
      <c r="C72" s="47"/>
      <c r="D72" s="47"/>
      <c r="E72" s="47"/>
      <c r="F72" s="47"/>
      <c r="G72" s="47"/>
      <c r="H72" s="47"/>
      <c r="I72" s="47"/>
      <c r="J72" s="47"/>
      <c r="K72" s="47"/>
      <c r="L72" s="47">
        <f>SUM(L68:L70)</f>
        <v>6809830</v>
      </c>
      <c r="M72" s="47">
        <f>SUM(M68:M70)</f>
        <v>332254</v>
      </c>
      <c r="N72" s="47">
        <f>SUM(N68:N70)</f>
        <v>396866</v>
      </c>
      <c r="O72" s="47"/>
      <c r="P72" s="47"/>
      <c r="Q72" s="47"/>
      <c r="R72" s="47"/>
      <c r="S72" s="51" t="s">
        <v>298</v>
      </c>
      <c r="T72" s="47"/>
      <c r="U72" s="47">
        <f>SUM(U68:U70)</f>
        <v>39969535</v>
      </c>
    </row>
    <row r="73" ht="12.75">
      <c r="S73" t="s">
        <v>299</v>
      </c>
    </row>
    <row r="74" ht="12.75">
      <c r="S74" s="51" t="s">
        <v>16</v>
      </c>
    </row>
    <row r="75" ht="12.75">
      <c r="A75" t="s">
        <v>206</v>
      </c>
    </row>
    <row r="78" ht="12.75">
      <c r="A78" t="s">
        <v>304</v>
      </c>
    </row>
  </sheetData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2"/>
  <sheetViews>
    <sheetView workbookViewId="0" topLeftCell="A1">
      <pane xSplit="2" ySplit="4" topLeftCell="O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65" sqref="R65"/>
    </sheetView>
  </sheetViews>
  <sheetFormatPr defaultColWidth="9.140625" defaultRowHeight="12.75"/>
  <cols>
    <col min="1" max="1" width="16.00390625" style="0" customWidth="1"/>
    <col min="2" max="2" width="11.140625" style="0" customWidth="1"/>
    <col min="3" max="3" width="13.57421875" style="0" customWidth="1"/>
    <col min="4" max="4" width="12.28125" style="0" customWidth="1"/>
    <col min="5" max="5" width="14.421875" style="0" customWidth="1"/>
    <col min="6" max="6" width="13.421875" style="0" customWidth="1"/>
    <col min="7" max="8" width="11.28125" style="0" customWidth="1"/>
    <col min="9" max="9" width="3.140625" style="0" customWidth="1"/>
    <col min="10" max="10" width="11.28125" style="0" customWidth="1"/>
    <col min="11" max="11" width="12.28125" style="0" customWidth="1"/>
    <col min="12" max="12" width="12.8515625" style="0" customWidth="1"/>
    <col min="13" max="13" width="13.140625" style="0" customWidth="1"/>
    <col min="14" max="14" width="12.57421875" style="0" customWidth="1"/>
    <col min="15" max="15" width="12.00390625" style="0" customWidth="1"/>
    <col min="16" max="17" width="12.57421875" style="0" customWidth="1"/>
    <col min="18" max="18" width="12.8515625" style="0" customWidth="1"/>
    <col min="19" max="19" width="4.00390625" style="0" customWidth="1"/>
    <col min="20" max="20" width="15.00390625" style="0" customWidth="1"/>
    <col min="21" max="21" width="11.28125" style="0" bestFit="1" customWidth="1"/>
  </cols>
  <sheetData>
    <row r="2" ht="12.75">
      <c r="A2" t="s">
        <v>3</v>
      </c>
    </row>
    <row r="3" spans="5:20" s="43" customFormat="1" ht="11.25">
      <c r="E3" s="43" t="s">
        <v>134</v>
      </c>
      <c r="J3" s="43" t="s">
        <v>204</v>
      </c>
      <c r="M3" s="43" t="s">
        <v>200</v>
      </c>
      <c r="O3" s="43" t="s">
        <v>202</v>
      </c>
      <c r="Q3" s="43" t="s">
        <v>181</v>
      </c>
      <c r="T3" s="43" t="s">
        <v>139</v>
      </c>
    </row>
    <row r="4" spans="3:20" s="43" customFormat="1" ht="11.25">
      <c r="C4" s="44" t="s">
        <v>141</v>
      </c>
      <c r="D4" s="44" t="s">
        <v>133</v>
      </c>
      <c r="E4" s="44" t="s">
        <v>135</v>
      </c>
      <c r="F4" s="44" t="s">
        <v>136</v>
      </c>
      <c r="G4" s="44" t="s">
        <v>137</v>
      </c>
      <c r="H4" s="44" t="s">
        <v>138</v>
      </c>
      <c r="J4" s="44" t="s">
        <v>139</v>
      </c>
      <c r="K4" s="44" t="s">
        <v>129</v>
      </c>
      <c r="L4" s="44" t="s">
        <v>140</v>
      </c>
      <c r="M4" s="44" t="s">
        <v>201</v>
      </c>
      <c r="N4" s="44" t="s">
        <v>154</v>
      </c>
      <c r="O4" s="44" t="s">
        <v>203</v>
      </c>
      <c r="P4" s="44" t="s">
        <v>180</v>
      </c>
      <c r="Q4" s="44" t="s">
        <v>182</v>
      </c>
      <c r="R4" s="44" t="s">
        <v>197</v>
      </c>
      <c r="T4" s="43" t="s">
        <v>3</v>
      </c>
    </row>
    <row r="5" spans="1:10" ht="6.75" customHeight="1">
      <c r="A5" s="19" t="s">
        <v>16</v>
      </c>
      <c r="J5" t="s">
        <v>16</v>
      </c>
    </row>
    <row r="6" spans="1:20" ht="12.75">
      <c r="A6" s="19" t="s">
        <v>142</v>
      </c>
      <c r="C6" s="47">
        <v>200</v>
      </c>
      <c r="D6" s="47"/>
      <c r="E6" s="47">
        <v>10000</v>
      </c>
      <c r="F6" s="47"/>
      <c r="G6" s="47"/>
      <c r="H6" s="47"/>
      <c r="I6" s="47"/>
      <c r="J6" s="47">
        <f aca="true" t="shared" si="0" ref="J6:J65">SUM(C6:H6)</f>
        <v>10200</v>
      </c>
      <c r="K6" s="47"/>
      <c r="L6" s="47"/>
      <c r="M6" s="47"/>
      <c r="N6" s="47"/>
      <c r="O6" s="47"/>
      <c r="P6" s="47"/>
      <c r="Q6" s="47"/>
      <c r="R6" s="47"/>
      <c r="S6" s="47"/>
      <c r="T6" s="47">
        <f>SUM(J6:S6)</f>
        <v>10200</v>
      </c>
    </row>
    <row r="7" spans="1:20" ht="12.75">
      <c r="A7" s="19" t="s">
        <v>143</v>
      </c>
      <c r="C7" s="47">
        <v>60789</v>
      </c>
      <c r="D7" s="47"/>
      <c r="E7" s="47">
        <v>65070</v>
      </c>
      <c r="F7" s="47">
        <v>1300</v>
      </c>
      <c r="G7" s="47"/>
      <c r="H7" s="47">
        <v>600</v>
      </c>
      <c r="I7" s="47"/>
      <c r="J7" s="47">
        <f t="shared" si="0"/>
        <v>127759</v>
      </c>
      <c r="K7" s="47">
        <v>9663</v>
      </c>
      <c r="L7" s="47"/>
      <c r="M7" s="47">
        <v>1059</v>
      </c>
      <c r="N7" s="47"/>
      <c r="O7" s="47"/>
      <c r="P7" s="47"/>
      <c r="Q7" s="47"/>
      <c r="R7" s="47"/>
      <c r="S7" s="47"/>
      <c r="T7" s="47">
        <f aca="true" t="shared" si="1" ref="T7:T67">SUM(J7:S7)</f>
        <v>138481</v>
      </c>
    </row>
    <row r="8" spans="1:20" ht="12.75">
      <c r="A8" s="19" t="s">
        <v>144</v>
      </c>
      <c r="C8" s="47">
        <v>113539</v>
      </c>
      <c r="D8" s="47"/>
      <c r="E8" s="47" t="s">
        <v>16</v>
      </c>
      <c r="F8" s="47">
        <v>3790</v>
      </c>
      <c r="G8" s="47"/>
      <c r="H8" s="47">
        <v>900</v>
      </c>
      <c r="I8" s="47"/>
      <c r="J8" s="47">
        <f t="shared" si="0"/>
        <v>118229</v>
      </c>
      <c r="K8" s="47">
        <v>6960</v>
      </c>
      <c r="L8" s="47">
        <v>320</v>
      </c>
      <c r="M8" s="47">
        <v>186</v>
      </c>
      <c r="N8" s="47"/>
      <c r="O8" s="47"/>
      <c r="P8" s="47"/>
      <c r="Q8" s="47"/>
      <c r="R8" s="47"/>
      <c r="S8" s="47"/>
      <c r="T8" s="47">
        <f t="shared" si="1"/>
        <v>125695</v>
      </c>
    </row>
    <row r="9" spans="1:20" ht="12.75">
      <c r="A9" s="19" t="s">
        <v>145</v>
      </c>
      <c r="C9" s="47">
        <v>47780</v>
      </c>
      <c r="D9" s="47"/>
      <c r="E9" s="47">
        <v>5900</v>
      </c>
      <c r="F9" s="47">
        <v>500</v>
      </c>
      <c r="G9" s="47"/>
      <c r="H9" s="47">
        <v>8378</v>
      </c>
      <c r="I9" s="47"/>
      <c r="J9" s="47">
        <f t="shared" si="0"/>
        <v>62558</v>
      </c>
      <c r="K9" s="47">
        <v>52027</v>
      </c>
      <c r="L9" s="47"/>
      <c r="M9" s="47">
        <v>29</v>
      </c>
      <c r="N9" s="47"/>
      <c r="O9" s="47"/>
      <c r="P9" s="47"/>
      <c r="Q9" s="47"/>
      <c r="R9" s="47"/>
      <c r="S9" s="47"/>
      <c r="T9" s="47">
        <f t="shared" si="1"/>
        <v>114614</v>
      </c>
    </row>
    <row r="10" spans="1:20" ht="12.75">
      <c r="A10" s="19" t="s">
        <v>146</v>
      </c>
      <c r="C10" s="47"/>
      <c r="D10" s="47"/>
      <c r="E10" s="47">
        <v>26500</v>
      </c>
      <c r="F10" s="47"/>
      <c r="G10" s="47"/>
      <c r="H10" s="47"/>
      <c r="I10" s="47"/>
      <c r="J10" s="47">
        <f t="shared" si="0"/>
        <v>26500</v>
      </c>
      <c r="K10" s="47"/>
      <c r="L10" s="47"/>
      <c r="M10" s="47"/>
      <c r="N10" s="47"/>
      <c r="O10" s="47"/>
      <c r="P10" s="47"/>
      <c r="Q10" s="47"/>
      <c r="R10" s="47"/>
      <c r="S10" s="47"/>
      <c r="T10" s="47">
        <f t="shared" si="1"/>
        <v>26500</v>
      </c>
    </row>
    <row r="11" spans="1:20" ht="12.75">
      <c r="A11" s="19" t="s">
        <v>147</v>
      </c>
      <c r="C11" s="47">
        <v>14707</v>
      </c>
      <c r="D11" s="47"/>
      <c r="E11" s="47">
        <v>5200</v>
      </c>
      <c r="F11" s="47">
        <v>750</v>
      </c>
      <c r="G11" s="47"/>
      <c r="H11" s="47"/>
      <c r="I11" s="47"/>
      <c r="J11" s="47">
        <f t="shared" si="0"/>
        <v>20657</v>
      </c>
      <c r="K11" s="47"/>
      <c r="L11" s="47"/>
      <c r="M11" s="47"/>
      <c r="N11" s="47"/>
      <c r="O11" s="47"/>
      <c r="P11" s="47"/>
      <c r="Q11" s="47"/>
      <c r="R11" s="47"/>
      <c r="S11" s="47"/>
      <c r="T11" s="47">
        <f t="shared" si="1"/>
        <v>20657</v>
      </c>
    </row>
    <row r="12" spans="1:20" ht="12.75">
      <c r="A12" s="19" t="s">
        <v>148</v>
      </c>
      <c r="C12" s="47">
        <v>184977</v>
      </c>
      <c r="D12" s="47">
        <v>1000</v>
      </c>
      <c r="E12" s="47">
        <v>23950</v>
      </c>
      <c r="F12" s="47">
        <v>1600</v>
      </c>
      <c r="G12" s="47"/>
      <c r="H12" s="47">
        <v>5000</v>
      </c>
      <c r="I12" s="47"/>
      <c r="J12" s="47">
        <f t="shared" si="0"/>
        <v>216527</v>
      </c>
      <c r="K12" s="47">
        <v>9663</v>
      </c>
      <c r="L12" s="47">
        <v>2900</v>
      </c>
      <c r="M12" s="47">
        <v>263</v>
      </c>
      <c r="N12" s="47"/>
      <c r="O12" s="47"/>
      <c r="P12" s="47"/>
      <c r="Q12" s="47"/>
      <c r="R12" s="47"/>
      <c r="S12" s="47"/>
      <c r="T12" s="47">
        <f t="shared" si="1"/>
        <v>229353</v>
      </c>
    </row>
    <row r="13" spans="1:20" ht="12.75">
      <c r="A13" s="19" t="s">
        <v>131</v>
      </c>
      <c r="C13" s="47">
        <v>158862</v>
      </c>
      <c r="D13" s="47"/>
      <c r="E13" s="47">
        <v>38850</v>
      </c>
      <c r="F13" s="47">
        <v>2205</v>
      </c>
      <c r="G13" s="47"/>
      <c r="H13" s="47">
        <v>2200</v>
      </c>
      <c r="I13" s="47"/>
      <c r="J13" s="47">
        <f t="shared" si="0"/>
        <v>202117</v>
      </c>
      <c r="K13" s="47">
        <v>48315</v>
      </c>
      <c r="L13" s="47">
        <v>1540</v>
      </c>
      <c r="M13" s="47">
        <v>0</v>
      </c>
      <c r="N13" s="47"/>
      <c r="O13" s="47"/>
      <c r="P13" s="47"/>
      <c r="Q13" s="47"/>
      <c r="R13" s="47"/>
      <c r="S13" s="47"/>
      <c r="T13" s="47">
        <f t="shared" si="1"/>
        <v>251972</v>
      </c>
    </row>
    <row r="14" spans="1:20" ht="12.75">
      <c r="A14" s="19" t="s">
        <v>149</v>
      </c>
      <c r="C14" s="47"/>
      <c r="D14" s="47"/>
      <c r="E14" s="47">
        <v>220000</v>
      </c>
      <c r="F14" s="47"/>
      <c r="G14" s="47"/>
      <c r="H14" s="47">
        <v>5000</v>
      </c>
      <c r="I14" s="47"/>
      <c r="J14" s="47">
        <f t="shared" si="0"/>
        <v>225000</v>
      </c>
      <c r="K14" s="47"/>
      <c r="L14" s="47"/>
      <c r="M14" s="47"/>
      <c r="N14" s="47"/>
      <c r="O14" s="47"/>
      <c r="P14" s="47"/>
      <c r="Q14" s="47"/>
      <c r="R14" s="47"/>
      <c r="S14" s="47"/>
      <c r="T14" s="47">
        <f t="shared" si="1"/>
        <v>225000</v>
      </c>
    </row>
    <row r="15" spans="1:20" ht="12.75">
      <c r="A15" s="19" t="s">
        <v>150</v>
      </c>
      <c r="C15" s="47">
        <v>140270</v>
      </c>
      <c r="D15" s="47">
        <v>350</v>
      </c>
      <c r="E15" s="47">
        <v>47100</v>
      </c>
      <c r="F15" s="47">
        <v>2950</v>
      </c>
      <c r="G15" s="47"/>
      <c r="H15" s="47">
        <v>1150</v>
      </c>
      <c r="I15" s="47"/>
      <c r="J15" s="47">
        <f t="shared" si="0"/>
        <v>191820</v>
      </c>
      <c r="K15" s="47">
        <v>19326</v>
      </c>
      <c r="L15" s="47">
        <v>1370</v>
      </c>
      <c r="M15" s="47">
        <v>227</v>
      </c>
      <c r="N15" s="47"/>
      <c r="O15" s="47"/>
      <c r="P15" s="47"/>
      <c r="Q15" s="47"/>
      <c r="R15" s="47"/>
      <c r="S15" s="47"/>
      <c r="T15" s="47">
        <f t="shared" si="1"/>
        <v>212743</v>
      </c>
    </row>
    <row r="16" spans="1:20" ht="12.75">
      <c r="A16" s="19" t="s">
        <v>151</v>
      </c>
      <c r="C16" s="47">
        <v>195675</v>
      </c>
      <c r="D16" s="47"/>
      <c r="E16" s="47">
        <v>76910</v>
      </c>
      <c r="F16" s="47">
        <v>4000</v>
      </c>
      <c r="G16" s="47"/>
      <c r="H16" s="47">
        <v>11515</v>
      </c>
      <c r="I16" s="47"/>
      <c r="J16" s="47">
        <f t="shared" si="0"/>
        <v>288100</v>
      </c>
      <c r="K16" s="47">
        <v>43234</v>
      </c>
      <c r="L16" s="47">
        <v>2270</v>
      </c>
      <c r="M16" s="47">
        <v>798</v>
      </c>
      <c r="N16" s="47"/>
      <c r="O16" s="47"/>
      <c r="P16" s="47"/>
      <c r="Q16" s="47"/>
      <c r="R16" s="47"/>
      <c r="S16" s="47"/>
      <c r="T16" s="47">
        <f t="shared" si="1"/>
        <v>334402</v>
      </c>
    </row>
    <row r="17" spans="1:20" ht="12.75">
      <c r="A17" s="19" t="s">
        <v>152</v>
      </c>
      <c r="C17" s="47">
        <v>255528</v>
      </c>
      <c r="D17" s="47"/>
      <c r="E17" s="47">
        <v>78210</v>
      </c>
      <c r="F17" s="47">
        <v>10600</v>
      </c>
      <c r="G17" s="47"/>
      <c r="H17" s="47">
        <v>4693</v>
      </c>
      <c r="I17" s="47"/>
      <c r="J17" s="47">
        <f t="shared" si="0"/>
        <v>349031</v>
      </c>
      <c r="K17" s="47">
        <v>36526</v>
      </c>
      <c r="L17" s="47">
        <v>2390</v>
      </c>
      <c r="M17" s="47">
        <v>436</v>
      </c>
      <c r="N17" s="47"/>
      <c r="O17" s="47"/>
      <c r="P17" s="47"/>
      <c r="Q17" s="47"/>
      <c r="R17" s="47"/>
      <c r="S17" s="47"/>
      <c r="T17" s="47">
        <f t="shared" si="1"/>
        <v>388383</v>
      </c>
    </row>
    <row r="18" spans="1:20" ht="12.75">
      <c r="A18" s="19" t="s">
        <v>153</v>
      </c>
      <c r="C18" s="47">
        <v>36062</v>
      </c>
      <c r="D18" s="47"/>
      <c r="E18" s="47">
        <v>21500</v>
      </c>
      <c r="F18" s="47">
        <v>100</v>
      </c>
      <c r="G18" s="47"/>
      <c r="H18" s="47"/>
      <c r="I18" s="47"/>
      <c r="J18" s="47">
        <f t="shared" si="0"/>
        <v>57662</v>
      </c>
      <c r="K18" s="47">
        <v>6960</v>
      </c>
      <c r="L18" s="47">
        <v>270</v>
      </c>
      <c r="M18" s="47">
        <v>58</v>
      </c>
      <c r="N18" s="47"/>
      <c r="O18" s="47"/>
      <c r="P18" s="47"/>
      <c r="Q18" s="47"/>
      <c r="R18" s="47"/>
      <c r="S18" s="47"/>
      <c r="T18" s="47">
        <f t="shared" si="1"/>
        <v>64950</v>
      </c>
    </row>
    <row r="19" spans="1:20" ht="12.75">
      <c r="A19" s="19" t="s">
        <v>155</v>
      </c>
      <c r="C19" s="47"/>
      <c r="D19" s="47"/>
      <c r="E19" s="47"/>
      <c r="F19" s="47"/>
      <c r="G19" s="47"/>
      <c r="H19" s="47"/>
      <c r="I19" s="47"/>
      <c r="J19" s="47">
        <f t="shared" si="0"/>
        <v>0</v>
      </c>
      <c r="K19" s="47"/>
      <c r="L19" s="47"/>
      <c r="M19" s="47"/>
      <c r="N19" s="47"/>
      <c r="O19" s="47">
        <v>400000</v>
      </c>
      <c r="P19" s="47"/>
      <c r="Q19" s="47"/>
      <c r="R19" s="47"/>
      <c r="S19" s="47"/>
      <c r="T19" s="47">
        <f t="shared" si="1"/>
        <v>400000</v>
      </c>
    </row>
    <row r="20" spans="1:20" ht="12.75">
      <c r="A20" s="19" t="s">
        <v>154</v>
      </c>
      <c r="C20" s="47"/>
      <c r="D20" s="47"/>
      <c r="E20" s="47"/>
      <c r="F20" s="47"/>
      <c r="G20" s="47"/>
      <c r="H20" s="47"/>
      <c r="I20" s="47"/>
      <c r="J20" s="47">
        <f t="shared" si="0"/>
        <v>0</v>
      </c>
      <c r="K20" s="47"/>
      <c r="L20" s="47"/>
      <c r="M20" s="47"/>
      <c r="N20" s="47">
        <v>2532445</v>
      </c>
      <c r="O20" s="47"/>
      <c r="P20" s="47"/>
      <c r="Q20" s="47"/>
      <c r="R20" s="47"/>
      <c r="S20" s="47"/>
      <c r="T20" s="47">
        <f t="shared" si="1"/>
        <v>2532445</v>
      </c>
    </row>
    <row r="21" spans="1:20" ht="12.75">
      <c r="A21" s="19" t="s">
        <v>199</v>
      </c>
      <c r="C21" s="47"/>
      <c r="D21" s="47"/>
      <c r="E21" s="47" t="s">
        <v>16</v>
      </c>
      <c r="F21" s="47"/>
      <c r="G21" s="47"/>
      <c r="H21" s="47">
        <v>225000</v>
      </c>
      <c r="I21" s="47"/>
      <c r="J21" s="47">
        <f t="shared" si="0"/>
        <v>225000</v>
      </c>
      <c r="K21" s="47">
        <v>1702833</v>
      </c>
      <c r="L21" s="47">
        <v>30000</v>
      </c>
      <c r="M21" s="47">
        <v>127721</v>
      </c>
      <c r="N21" s="47"/>
      <c r="O21" s="47"/>
      <c r="P21" s="47"/>
      <c r="Q21" s="47"/>
      <c r="R21" s="47"/>
      <c r="S21" s="47"/>
      <c r="T21" s="47">
        <f t="shared" si="1"/>
        <v>2085554</v>
      </c>
    </row>
    <row r="22" spans="1:20" ht="12.75">
      <c r="A22" s="19" t="s">
        <v>156</v>
      </c>
      <c r="C22" s="47">
        <v>257899</v>
      </c>
      <c r="D22" s="47"/>
      <c r="E22" s="47">
        <v>9371</v>
      </c>
      <c r="F22" s="47">
        <v>10009</v>
      </c>
      <c r="G22" s="47"/>
      <c r="H22" s="47">
        <v>1835</v>
      </c>
      <c r="I22" s="47"/>
      <c r="J22" s="47">
        <f t="shared" si="0"/>
        <v>279114</v>
      </c>
      <c r="K22" s="47">
        <v>35677</v>
      </c>
      <c r="L22" s="47">
        <v>440</v>
      </c>
      <c r="M22" s="47">
        <v>3336</v>
      </c>
      <c r="N22" s="47"/>
      <c r="O22" s="47"/>
      <c r="P22" s="47"/>
      <c r="Q22" s="47"/>
      <c r="R22" s="47"/>
      <c r="S22" s="47"/>
      <c r="T22" s="47">
        <f t="shared" si="1"/>
        <v>318567</v>
      </c>
    </row>
    <row r="23" spans="1:20" ht="12.75">
      <c r="A23" s="19" t="s">
        <v>157</v>
      </c>
      <c r="C23" s="47">
        <v>535862</v>
      </c>
      <c r="D23" s="47">
        <v>40000</v>
      </c>
      <c r="E23" s="47">
        <v>17500</v>
      </c>
      <c r="F23" s="47">
        <v>3600</v>
      </c>
      <c r="G23" s="47"/>
      <c r="H23" s="47"/>
      <c r="I23" s="47"/>
      <c r="J23" s="47">
        <f t="shared" si="0"/>
        <v>596962</v>
      </c>
      <c r="K23" s="47">
        <v>82283</v>
      </c>
      <c r="L23" s="47">
        <v>4720</v>
      </c>
      <c r="M23" s="47" t="s">
        <v>16</v>
      </c>
      <c r="N23" s="47"/>
      <c r="O23" s="47"/>
      <c r="P23" s="47"/>
      <c r="Q23" s="47"/>
      <c r="R23" s="47"/>
      <c r="S23" s="47"/>
      <c r="T23" s="47">
        <f t="shared" si="1"/>
        <v>683965</v>
      </c>
    </row>
    <row r="24" spans="1:20" ht="12.75">
      <c r="A24" s="19" t="s">
        <v>158</v>
      </c>
      <c r="C24" s="47">
        <v>74033</v>
      </c>
      <c r="D24" s="47"/>
      <c r="E24" s="47">
        <v>4600</v>
      </c>
      <c r="F24" s="47">
        <v>3556</v>
      </c>
      <c r="G24" s="47"/>
      <c r="H24" s="47"/>
      <c r="I24" s="47"/>
      <c r="J24" s="47">
        <f t="shared" si="0"/>
        <v>82189</v>
      </c>
      <c r="K24" s="47">
        <v>7105</v>
      </c>
      <c r="L24" s="47"/>
      <c r="M24" s="47">
        <v>98</v>
      </c>
      <c r="N24" s="47"/>
      <c r="O24" s="47"/>
      <c r="P24" s="47"/>
      <c r="Q24" s="47"/>
      <c r="R24" s="47"/>
      <c r="S24" s="47"/>
      <c r="T24" s="47">
        <f t="shared" si="1"/>
        <v>89392</v>
      </c>
    </row>
    <row r="25" spans="1:20" ht="12.75">
      <c r="A25" s="19" t="s">
        <v>159</v>
      </c>
      <c r="C25" s="47">
        <v>2410202</v>
      </c>
      <c r="D25" s="47"/>
      <c r="E25" s="47">
        <v>64125</v>
      </c>
      <c r="F25" s="47">
        <v>53948</v>
      </c>
      <c r="G25" s="47">
        <v>79414</v>
      </c>
      <c r="H25" s="47">
        <v>2543</v>
      </c>
      <c r="I25" s="47"/>
      <c r="J25" s="47">
        <f t="shared" si="0"/>
        <v>2610232</v>
      </c>
      <c r="K25" s="47">
        <v>408314</v>
      </c>
      <c r="L25" s="47">
        <v>26810</v>
      </c>
      <c r="M25" s="47" t="s">
        <v>16</v>
      </c>
      <c r="N25" s="47"/>
      <c r="O25" s="47"/>
      <c r="P25" s="47"/>
      <c r="Q25" s="47"/>
      <c r="R25" s="47"/>
      <c r="S25" s="47"/>
      <c r="T25" s="47">
        <f t="shared" si="1"/>
        <v>3045356</v>
      </c>
    </row>
    <row r="26" spans="1:20" ht="12.75">
      <c r="A26" s="19" t="s">
        <v>160</v>
      </c>
      <c r="C26" s="47">
        <v>356240</v>
      </c>
      <c r="D26" s="47"/>
      <c r="E26" s="47">
        <v>4700</v>
      </c>
      <c r="F26" s="47">
        <v>17827</v>
      </c>
      <c r="G26" s="47"/>
      <c r="H26" s="47">
        <v>235</v>
      </c>
      <c r="I26" s="47"/>
      <c r="J26" s="47">
        <f t="shared" si="0"/>
        <v>379002</v>
      </c>
      <c r="K26" s="47">
        <v>6960</v>
      </c>
      <c r="L26" s="47">
        <v>2510</v>
      </c>
      <c r="M26" s="47">
        <v>5261</v>
      </c>
      <c r="N26" s="47"/>
      <c r="O26" s="47"/>
      <c r="P26" s="47"/>
      <c r="Q26" s="47"/>
      <c r="R26" s="47"/>
      <c r="S26" s="47"/>
      <c r="T26" s="47">
        <f t="shared" si="1"/>
        <v>393733</v>
      </c>
    </row>
    <row r="27" spans="1:20" ht="12.75">
      <c r="A27" s="19" t="s">
        <v>161</v>
      </c>
      <c r="C27" s="47">
        <v>294672</v>
      </c>
      <c r="D27" s="47"/>
      <c r="E27" s="47">
        <v>3930</v>
      </c>
      <c r="F27" s="47">
        <v>10802</v>
      </c>
      <c r="G27" s="47"/>
      <c r="H27" s="47">
        <v>4650</v>
      </c>
      <c r="I27" s="47"/>
      <c r="J27" s="47">
        <f t="shared" si="0"/>
        <v>314054</v>
      </c>
      <c r="K27" s="47"/>
      <c r="L27" s="47">
        <v>2610</v>
      </c>
      <c r="M27" s="47" t="s">
        <v>16</v>
      </c>
      <c r="N27" s="47"/>
      <c r="O27" s="47"/>
      <c r="P27" s="47"/>
      <c r="Q27" s="47"/>
      <c r="R27" s="47"/>
      <c r="S27" s="47"/>
      <c r="T27" s="47">
        <f t="shared" si="1"/>
        <v>316664</v>
      </c>
    </row>
    <row r="28" spans="1:20" ht="12.75">
      <c r="A28" s="19" t="s">
        <v>162</v>
      </c>
      <c r="C28" s="47">
        <v>243460</v>
      </c>
      <c r="D28" s="47"/>
      <c r="E28" s="47">
        <v>8379</v>
      </c>
      <c r="F28" s="47">
        <v>6805</v>
      </c>
      <c r="G28" s="47"/>
      <c r="H28" s="47">
        <v>710</v>
      </c>
      <c r="I28" s="47"/>
      <c r="J28" s="47">
        <f t="shared" si="0"/>
        <v>259354</v>
      </c>
      <c r="K28" s="47">
        <v>5164</v>
      </c>
      <c r="L28" s="47">
        <v>3370</v>
      </c>
      <c r="M28" s="47">
        <v>1135</v>
      </c>
      <c r="N28" s="47"/>
      <c r="O28" s="47"/>
      <c r="P28" s="47"/>
      <c r="Q28" s="47"/>
      <c r="R28" s="47"/>
      <c r="S28" s="47"/>
      <c r="T28" s="47">
        <f t="shared" si="1"/>
        <v>269023</v>
      </c>
    </row>
    <row r="29" spans="1:20" ht="12.75">
      <c r="A29" s="19" t="s">
        <v>163</v>
      </c>
      <c r="C29" s="47">
        <v>211000</v>
      </c>
      <c r="D29" s="47"/>
      <c r="E29" s="47">
        <v>5600</v>
      </c>
      <c r="F29" s="47">
        <v>11925</v>
      </c>
      <c r="G29" s="47"/>
      <c r="H29" s="47">
        <v>2800</v>
      </c>
      <c r="I29" s="47"/>
      <c r="J29" s="47">
        <f t="shared" si="0"/>
        <v>231325</v>
      </c>
      <c r="K29" s="47">
        <v>29566</v>
      </c>
      <c r="L29" s="47">
        <v>2100</v>
      </c>
      <c r="M29" s="47" t="s">
        <v>16</v>
      </c>
      <c r="N29" s="47"/>
      <c r="O29" s="47"/>
      <c r="P29" s="47"/>
      <c r="Q29" s="47"/>
      <c r="R29" s="47"/>
      <c r="S29" s="47"/>
      <c r="T29" s="47">
        <f t="shared" si="1"/>
        <v>262991</v>
      </c>
    </row>
    <row r="30" spans="1:20" ht="12.75">
      <c r="A30" s="19" t="s">
        <v>164</v>
      </c>
      <c r="B30" t="s">
        <v>16</v>
      </c>
      <c r="C30" s="47">
        <v>2706266</v>
      </c>
      <c r="D30" s="47"/>
      <c r="E30" s="47">
        <v>13000</v>
      </c>
      <c r="F30" s="47">
        <v>50143</v>
      </c>
      <c r="G30" s="47">
        <v>11000</v>
      </c>
      <c r="H30" s="47">
        <v>2500</v>
      </c>
      <c r="I30" s="47"/>
      <c r="J30" s="47">
        <f t="shared" si="0"/>
        <v>2782909</v>
      </c>
      <c r="K30" s="47">
        <v>364946</v>
      </c>
      <c r="L30" s="47">
        <v>14950</v>
      </c>
      <c r="M30" s="47" t="s">
        <v>16</v>
      </c>
      <c r="N30" s="47"/>
      <c r="O30" s="47"/>
      <c r="P30" s="47"/>
      <c r="Q30" s="47"/>
      <c r="R30" s="47"/>
      <c r="S30" s="47"/>
      <c r="T30" s="47">
        <f t="shared" si="1"/>
        <v>3162805</v>
      </c>
    </row>
    <row r="31" spans="1:20" ht="12.75">
      <c r="A31" s="19" t="s">
        <v>165</v>
      </c>
      <c r="C31" s="47">
        <v>415565</v>
      </c>
      <c r="D31" s="47"/>
      <c r="E31" s="47"/>
      <c r="F31" s="47">
        <v>13320</v>
      </c>
      <c r="G31" s="47">
        <v>1478</v>
      </c>
      <c r="H31" s="47"/>
      <c r="I31" s="47"/>
      <c r="J31" s="47">
        <f t="shared" si="0"/>
        <v>430363</v>
      </c>
      <c r="K31" s="47">
        <v>74746</v>
      </c>
      <c r="L31" s="47">
        <v>5090</v>
      </c>
      <c r="M31" s="47" t="s">
        <v>16</v>
      </c>
      <c r="N31" s="47"/>
      <c r="O31" s="47"/>
      <c r="P31" s="47"/>
      <c r="Q31" s="47"/>
      <c r="R31" s="47"/>
      <c r="S31" s="47"/>
      <c r="T31" s="47">
        <f t="shared" si="1"/>
        <v>510199</v>
      </c>
    </row>
    <row r="32" spans="1:20" ht="12.75">
      <c r="A32" s="19" t="s">
        <v>166</v>
      </c>
      <c r="C32" s="47">
        <v>9000</v>
      </c>
      <c r="D32" s="47"/>
      <c r="E32" s="47">
        <v>2700</v>
      </c>
      <c r="F32" s="47">
        <v>300</v>
      </c>
      <c r="G32" s="47">
        <v>1100</v>
      </c>
      <c r="H32" s="47">
        <v>50</v>
      </c>
      <c r="I32" s="47"/>
      <c r="J32" s="47">
        <f t="shared" si="0"/>
        <v>13150</v>
      </c>
      <c r="K32" s="47"/>
      <c r="L32" s="47"/>
      <c r="M32" s="47"/>
      <c r="N32" s="47"/>
      <c r="O32" s="47"/>
      <c r="P32" s="47"/>
      <c r="Q32" s="47"/>
      <c r="R32" s="47"/>
      <c r="S32" s="47"/>
      <c r="T32" s="47">
        <f t="shared" si="1"/>
        <v>13150</v>
      </c>
    </row>
    <row r="33" spans="1:20" ht="12.75">
      <c r="A33" s="19" t="s">
        <v>167</v>
      </c>
      <c r="C33" s="47">
        <v>122086</v>
      </c>
      <c r="D33" s="47">
        <v>1815</v>
      </c>
      <c r="E33" s="47">
        <v>35539</v>
      </c>
      <c r="F33" s="47">
        <v>2900</v>
      </c>
      <c r="G33" s="47"/>
      <c r="H33" s="47">
        <v>2323</v>
      </c>
      <c r="I33" s="47"/>
      <c r="J33" s="47">
        <f t="shared" si="0"/>
        <v>164663</v>
      </c>
      <c r="K33" s="47">
        <v>26014</v>
      </c>
      <c r="L33" s="47">
        <v>510</v>
      </c>
      <c r="M33" s="47">
        <v>149</v>
      </c>
      <c r="N33" s="47"/>
      <c r="O33" s="47"/>
      <c r="P33" s="47"/>
      <c r="Q33" s="47"/>
      <c r="R33" s="47"/>
      <c r="S33" s="47"/>
      <c r="T33" s="47">
        <f t="shared" si="1"/>
        <v>191336</v>
      </c>
    </row>
    <row r="34" spans="1:20" ht="12.75">
      <c r="A34" s="19" t="s">
        <v>132</v>
      </c>
      <c r="B34" t="s">
        <v>16</v>
      </c>
      <c r="C34" s="47">
        <v>165284</v>
      </c>
      <c r="D34" s="47"/>
      <c r="E34" s="47">
        <v>21950</v>
      </c>
      <c r="F34" s="47">
        <v>700</v>
      </c>
      <c r="G34" s="47"/>
      <c r="H34" s="47">
        <v>1900</v>
      </c>
      <c r="I34" s="47"/>
      <c r="J34" s="47">
        <f t="shared" si="0"/>
        <v>189834</v>
      </c>
      <c r="K34" s="47">
        <v>13216</v>
      </c>
      <c r="L34" s="47">
        <v>2180</v>
      </c>
      <c r="M34" s="47" t="s">
        <v>16</v>
      </c>
      <c r="N34" s="47"/>
      <c r="O34" s="47"/>
      <c r="P34" s="47"/>
      <c r="Q34" s="47"/>
      <c r="R34" s="47"/>
      <c r="S34" s="47"/>
      <c r="T34" s="47">
        <f t="shared" si="1"/>
        <v>205230</v>
      </c>
    </row>
    <row r="35" spans="1:20" ht="12.75">
      <c r="A35" s="19" t="s">
        <v>168</v>
      </c>
      <c r="C35" s="47">
        <v>118093</v>
      </c>
      <c r="D35" s="47"/>
      <c r="E35" s="47">
        <v>150</v>
      </c>
      <c r="F35" s="47">
        <v>2475</v>
      </c>
      <c r="G35" s="47"/>
      <c r="H35" s="47">
        <v>575</v>
      </c>
      <c r="I35" s="47"/>
      <c r="J35" s="47">
        <f t="shared" si="0"/>
        <v>121293</v>
      </c>
      <c r="K35" s="47">
        <v>26014</v>
      </c>
      <c r="L35" s="47">
        <v>610</v>
      </c>
      <c r="M35" s="47">
        <v>225</v>
      </c>
      <c r="N35" s="47"/>
      <c r="O35" s="47"/>
      <c r="P35" s="47"/>
      <c r="Q35" s="47"/>
      <c r="R35" s="47"/>
      <c r="S35" s="47"/>
      <c r="T35" s="47">
        <f t="shared" si="1"/>
        <v>148142</v>
      </c>
    </row>
    <row r="36" spans="1:20" ht="12.75">
      <c r="A36" s="19" t="s">
        <v>169</v>
      </c>
      <c r="C36" s="47">
        <v>141067</v>
      </c>
      <c r="D36" s="47"/>
      <c r="E36" s="47">
        <v>26949</v>
      </c>
      <c r="F36" s="47">
        <v>760</v>
      </c>
      <c r="G36" s="47"/>
      <c r="H36" s="47">
        <v>3740</v>
      </c>
      <c r="I36" s="47"/>
      <c r="J36" s="47">
        <f t="shared" si="0"/>
        <v>172516</v>
      </c>
      <c r="K36" s="47">
        <v>29566</v>
      </c>
      <c r="L36" s="47">
        <v>1780</v>
      </c>
      <c r="M36" s="47">
        <v>219</v>
      </c>
      <c r="N36" s="47"/>
      <c r="O36" s="47"/>
      <c r="P36" s="47"/>
      <c r="Q36" s="47"/>
      <c r="R36" s="47"/>
      <c r="S36" s="47"/>
      <c r="T36" s="47">
        <f t="shared" si="1"/>
        <v>204081</v>
      </c>
    </row>
    <row r="37" spans="1:20" ht="12.75">
      <c r="A37" s="19" t="s">
        <v>170</v>
      </c>
      <c r="C37" s="47">
        <v>239955</v>
      </c>
      <c r="D37" s="47"/>
      <c r="E37" s="47">
        <v>4280</v>
      </c>
      <c r="F37" s="47">
        <v>4250</v>
      </c>
      <c r="G37" s="47"/>
      <c r="H37" s="47">
        <v>575</v>
      </c>
      <c r="I37" s="47"/>
      <c r="J37" s="47">
        <f t="shared" si="0"/>
        <v>249060</v>
      </c>
      <c r="K37" s="47">
        <v>32542</v>
      </c>
      <c r="L37" s="47">
        <v>450</v>
      </c>
      <c r="M37" s="47">
        <v>1754</v>
      </c>
      <c r="N37" s="47"/>
      <c r="O37" s="47"/>
      <c r="P37" s="47"/>
      <c r="Q37" s="47"/>
      <c r="R37" s="47"/>
      <c r="S37" s="47"/>
      <c r="T37" s="47">
        <f t="shared" si="1"/>
        <v>283806</v>
      </c>
    </row>
    <row r="38" spans="1:20" ht="12.75">
      <c r="A38" s="19" t="s">
        <v>171</v>
      </c>
      <c r="C38" s="47">
        <v>306902</v>
      </c>
      <c r="D38" s="47"/>
      <c r="E38" s="47">
        <v>318825</v>
      </c>
      <c r="F38" s="47">
        <v>217972</v>
      </c>
      <c r="G38" s="47"/>
      <c r="H38" s="47"/>
      <c r="I38" s="47"/>
      <c r="J38" s="47">
        <f t="shared" si="0"/>
        <v>843699</v>
      </c>
      <c r="K38" s="47">
        <v>28989</v>
      </c>
      <c r="L38" s="47">
        <v>630</v>
      </c>
      <c r="M38" s="47">
        <v>7677</v>
      </c>
      <c r="N38" s="47"/>
      <c r="O38" s="47"/>
      <c r="P38" s="47"/>
      <c r="Q38" s="47"/>
      <c r="R38" s="47"/>
      <c r="S38" s="47"/>
      <c r="T38" s="47">
        <f t="shared" si="1"/>
        <v>880995</v>
      </c>
    </row>
    <row r="39" spans="1:20" ht="12.75">
      <c r="A39" s="19" t="s">
        <v>172</v>
      </c>
      <c r="C39" s="47"/>
      <c r="D39" s="47"/>
      <c r="E39" s="47">
        <v>36000</v>
      </c>
      <c r="F39" s="47"/>
      <c r="G39" s="47"/>
      <c r="H39" s="47"/>
      <c r="I39" s="47"/>
      <c r="J39" s="47">
        <f t="shared" si="0"/>
        <v>36000</v>
      </c>
      <c r="K39" s="47"/>
      <c r="L39" s="47"/>
      <c r="M39" s="47"/>
      <c r="N39" s="47"/>
      <c r="O39" s="47"/>
      <c r="P39" s="47"/>
      <c r="Q39" s="47"/>
      <c r="R39" s="47"/>
      <c r="S39" s="47"/>
      <c r="T39" s="47">
        <f t="shared" si="1"/>
        <v>36000</v>
      </c>
    </row>
    <row r="40" spans="1:20" ht="12.75">
      <c r="A40" s="19" t="s">
        <v>173</v>
      </c>
      <c r="C40" s="48" t="s">
        <v>16</v>
      </c>
      <c r="D40" s="47"/>
      <c r="E40" s="47"/>
      <c r="F40" s="47"/>
      <c r="G40" s="47"/>
      <c r="H40" s="47"/>
      <c r="I40" s="47"/>
      <c r="J40" s="47">
        <f t="shared" si="0"/>
        <v>0</v>
      </c>
      <c r="K40" s="48" t="s">
        <v>16</v>
      </c>
      <c r="L40" s="48" t="s">
        <v>16</v>
      </c>
      <c r="M40" s="48" t="s">
        <v>16</v>
      </c>
      <c r="N40" s="48" t="s">
        <v>16</v>
      </c>
      <c r="O40" s="47"/>
      <c r="P40" s="47">
        <v>949847</v>
      </c>
      <c r="Q40" s="47"/>
      <c r="R40" s="47"/>
      <c r="S40" s="47"/>
      <c r="T40" s="47">
        <f t="shared" si="1"/>
        <v>949847</v>
      </c>
    </row>
    <row r="41" spans="1:20" ht="12.75">
      <c r="A41" s="19" t="s">
        <v>174</v>
      </c>
      <c r="C41" s="47"/>
      <c r="D41" s="47"/>
      <c r="E41" s="47"/>
      <c r="F41" s="47"/>
      <c r="G41" s="47"/>
      <c r="H41" s="47"/>
      <c r="I41" s="47"/>
      <c r="J41" s="47">
        <f t="shared" si="0"/>
        <v>0</v>
      </c>
      <c r="K41" s="47"/>
      <c r="L41" s="47"/>
      <c r="M41" s="47"/>
      <c r="N41" s="47"/>
      <c r="O41" s="47"/>
      <c r="P41" s="47">
        <v>3804745</v>
      </c>
      <c r="Q41" s="47"/>
      <c r="R41" s="47"/>
      <c r="S41" s="47"/>
      <c r="T41" s="47">
        <f t="shared" si="1"/>
        <v>3804745</v>
      </c>
    </row>
    <row r="42" spans="1:20" ht="12.75">
      <c r="A42" s="19" t="s">
        <v>175</v>
      </c>
      <c r="C42" s="48" t="s">
        <v>16</v>
      </c>
      <c r="D42" s="47"/>
      <c r="E42" s="47"/>
      <c r="F42" s="47"/>
      <c r="G42" s="47"/>
      <c r="H42" s="47"/>
      <c r="I42" s="47"/>
      <c r="J42" s="47">
        <f t="shared" si="0"/>
        <v>0</v>
      </c>
      <c r="K42" s="47"/>
      <c r="L42" s="48" t="s">
        <v>16</v>
      </c>
      <c r="M42" s="49" t="s">
        <v>16</v>
      </c>
      <c r="N42" s="47"/>
      <c r="O42" s="47"/>
      <c r="P42" s="47">
        <v>208757</v>
      </c>
      <c r="Q42" s="47"/>
      <c r="R42" s="47"/>
      <c r="S42" s="47"/>
      <c r="T42" s="47">
        <f t="shared" si="1"/>
        <v>208757</v>
      </c>
    </row>
    <row r="43" spans="1:20" ht="12.75">
      <c r="A43" s="19" t="s">
        <v>176</v>
      </c>
      <c r="C43" s="47">
        <v>253449</v>
      </c>
      <c r="D43" s="47">
        <v>2000</v>
      </c>
      <c r="E43" s="47">
        <v>7607</v>
      </c>
      <c r="F43" s="47">
        <v>123178</v>
      </c>
      <c r="G43" s="47"/>
      <c r="H43" s="47"/>
      <c r="I43" s="47"/>
      <c r="J43" s="47">
        <f t="shared" si="0"/>
        <v>386234</v>
      </c>
      <c r="K43" s="47">
        <v>28989</v>
      </c>
      <c r="L43" s="47">
        <v>3080</v>
      </c>
      <c r="M43" s="47">
        <v>10852</v>
      </c>
      <c r="N43" s="47"/>
      <c r="O43" s="47"/>
      <c r="P43" s="47"/>
      <c r="Q43" s="47"/>
      <c r="R43" s="47"/>
      <c r="S43" s="47"/>
      <c r="T43" s="47">
        <f t="shared" si="1"/>
        <v>429155</v>
      </c>
    </row>
    <row r="44" spans="1:20" ht="12.75">
      <c r="A44" s="19" t="s">
        <v>177</v>
      </c>
      <c r="C44" s="47">
        <v>29170</v>
      </c>
      <c r="D44" s="47"/>
      <c r="E44" s="47">
        <v>135746</v>
      </c>
      <c r="F44" s="47">
        <v>12500</v>
      </c>
      <c r="G44" s="47"/>
      <c r="H44" s="47">
        <v>300</v>
      </c>
      <c r="I44" s="47"/>
      <c r="J44" s="47">
        <f t="shared" si="0"/>
        <v>177716</v>
      </c>
      <c r="K44" s="47"/>
      <c r="L44" s="50">
        <v>340</v>
      </c>
      <c r="M44" s="50">
        <v>1693</v>
      </c>
      <c r="N44" s="47"/>
      <c r="O44" s="47"/>
      <c r="P44" s="47"/>
      <c r="Q44" s="47"/>
      <c r="R44" s="47"/>
      <c r="S44" s="47"/>
      <c r="T44" s="47">
        <f t="shared" si="1"/>
        <v>179749</v>
      </c>
    </row>
    <row r="45" spans="1:20" ht="12.75">
      <c r="A45" s="19" t="s">
        <v>178</v>
      </c>
      <c r="C45" s="47">
        <v>62119</v>
      </c>
      <c r="D45" s="47"/>
      <c r="E45" s="47"/>
      <c r="F45" s="47">
        <v>8000</v>
      </c>
      <c r="G45" s="47"/>
      <c r="H45" s="47"/>
      <c r="I45" s="47"/>
      <c r="J45" s="47">
        <f t="shared" si="0"/>
        <v>70119</v>
      </c>
      <c r="K45" s="47">
        <v>13216</v>
      </c>
      <c r="L45" s="50">
        <v>720</v>
      </c>
      <c r="M45" s="50">
        <v>2728</v>
      </c>
      <c r="N45" s="47"/>
      <c r="O45" s="47"/>
      <c r="P45" s="47"/>
      <c r="Q45" s="47"/>
      <c r="R45" s="47"/>
      <c r="S45" s="47"/>
      <c r="T45" s="47">
        <f t="shared" si="1"/>
        <v>86783</v>
      </c>
    </row>
    <row r="46" spans="1:20" ht="12.75">
      <c r="A46" s="19" t="s">
        <v>179</v>
      </c>
      <c r="C46" s="47">
        <v>71096</v>
      </c>
      <c r="D46" s="47"/>
      <c r="E46" s="47"/>
      <c r="F46" s="47">
        <v>20050</v>
      </c>
      <c r="G46" s="47"/>
      <c r="H46" s="47"/>
      <c r="I46" s="47"/>
      <c r="J46" s="47">
        <f t="shared" si="0"/>
        <v>91146</v>
      </c>
      <c r="K46" s="47">
        <v>26014</v>
      </c>
      <c r="L46" s="47"/>
      <c r="M46" s="50">
        <v>5148</v>
      </c>
      <c r="N46" s="47"/>
      <c r="O46" s="47"/>
      <c r="P46" s="47"/>
      <c r="Q46" s="47">
        <v>2609220</v>
      </c>
      <c r="R46" s="47"/>
      <c r="S46" s="47"/>
      <c r="T46" s="47">
        <f t="shared" si="1"/>
        <v>2731528</v>
      </c>
    </row>
    <row r="47" spans="1:20" ht="12.75">
      <c r="A47" s="19" t="s">
        <v>183</v>
      </c>
      <c r="C47" s="47"/>
      <c r="D47" s="47">
        <v>190000</v>
      </c>
      <c r="E47" s="47" t="s">
        <v>16</v>
      </c>
      <c r="F47" s="47"/>
      <c r="G47" s="47"/>
      <c r="H47" s="47"/>
      <c r="I47" s="47"/>
      <c r="J47" s="47">
        <f t="shared" si="0"/>
        <v>190000</v>
      </c>
      <c r="K47" s="47"/>
      <c r="L47" s="47"/>
      <c r="M47" s="47"/>
      <c r="N47" s="47"/>
      <c r="O47" s="47"/>
      <c r="P47" s="47"/>
      <c r="Q47" s="47"/>
      <c r="R47" s="47"/>
      <c r="S47" s="47"/>
      <c r="T47" s="47">
        <f t="shared" si="1"/>
        <v>190000</v>
      </c>
    </row>
    <row r="48" spans="1:20" ht="12.75">
      <c r="A48" s="19" t="s">
        <v>184</v>
      </c>
      <c r="C48" s="47">
        <v>220302</v>
      </c>
      <c r="D48" s="47">
        <v>168108</v>
      </c>
      <c r="E48" s="47">
        <v>132495</v>
      </c>
      <c r="F48" s="47">
        <v>14000</v>
      </c>
      <c r="G48" s="47">
        <v>19000</v>
      </c>
      <c r="H48" s="47">
        <v>2400</v>
      </c>
      <c r="I48" s="47"/>
      <c r="J48" s="47">
        <f t="shared" si="0"/>
        <v>556305</v>
      </c>
      <c r="K48" s="47">
        <v>68636</v>
      </c>
      <c r="L48" s="47">
        <v>4510</v>
      </c>
      <c r="M48" s="47">
        <v>3852</v>
      </c>
      <c r="N48" s="47"/>
      <c r="O48" s="47"/>
      <c r="P48" s="47"/>
      <c r="Q48" s="47"/>
      <c r="R48" s="47"/>
      <c r="S48" s="47"/>
      <c r="T48" s="47">
        <f t="shared" si="1"/>
        <v>633303</v>
      </c>
    </row>
    <row r="49" spans="1:20" ht="12.75">
      <c r="A49" s="19" t="s">
        <v>185</v>
      </c>
      <c r="C49" s="47">
        <v>217917</v>
      </c>
      <c r="D49" s="47">
        <v>60400</v>
      </c>
      <c r="E49" s="47">
        <v>35700</v>
      </c>
      <c r="F49" s="47">
        <v>63500</v>
      </c>
      <c r="G49" s="47"/>
      <c r="H49" s="47"/>
      <c r="I49" s="47"/>
      <c r="J49" s="47">
        <f t="shared" si="0"/>
        <v>377517</v>
      </c>
      <c r="K49" s="47"/>
      <c r="L49" s="47"/>
      <c r="M49" s="47"/>
      <c r="N49" s="47"/>
      <c r="O49" s="47"/>
      <c r="P49" s="47"/>
      <c r="Q49" s="47"/>
      <c r="R49" s="47"/>
      <c r="S49" s="47"/>
      <c r="T49" s="47">
        <f t="shared" si="1"/>
        <v>377517</v>
      </c>
    </row>
    <row r="50" spans="1:20" ht="12.75">
      <c r="A50" s="19" t="s">
        <v>130</v>
      </c>
      <c r="C50" s="47">
        <v>215699</v>
      </c>
      <c r="D50" s="47">
        <v>9619</v>
      </c>
      <c r="E50" s="47">
        <v>23490</v>
      </c>
      <c r="F50" s="47">
        <v>23819</v>
      </c>
      <c r="G50" s="47"/>
      <c r="H50" s="47">
        <v>1280</v>
      </c>
      <c r="I50" s="47"/>
      <c r="J50" s="47">
        <f t="shared" si="0"/>
        <v>273907</v>
      </c>
      <c r="K50" s="47">
        <v>26431</v>
      </c>
      <c r="L50" s="47">
        <v>820</v>
      </c>
      <c r="M50" s="47">
        <v>4186</v>
      </c>
      <c r="N50" s="47"/>
      <c r="O50" s="47"/>
      <c r="P50" s="47"/>
      <c r="Q50" s="47"/>
      <c r="R50" s="47"/>
      <c r="S50" s="47"/>
      <c r="T50" s="47">
        <f t="shared" si="1"/>
        <v>305344</v>
      </c>
    </row>
    <row r="51" spans="1:20" ht="12.75">
      <c r="A51" s="19" t="s">
        <v>129</v>
      </c>
      <c r="C51" s="47">
        <v>182122</v>
      </c>
      <c r="D51" s="47"/>
      <c r="E51" s="47">
        <v>14685</v>
      </c>
      <c r="F51" s="47">
        <v>2825</v>
      </c>
      <c r="G51" s="47"/>
      <c r="H51" s="47">
        <v>1300</v>
      </c>
      <c r="I51" s="47"/>
      <c r="J51" s="47">
        <f t="shared" si="0"/>
        <v>200932</v>
      </c>
      <c r="K51" s="47">
        <v>36526</v>
      </c>
      <c r="L51" s="47">
        <v>1760</v>
      </c>
      <c r="M51" s="47">
        <v>765</v>
      </c>
      <c r="N51" s="47"/>
      <c r="O51" s="47"/>
      <c r="P51" s="47"/>
      <c r="Q51" s="47"/>
      <c r="R51" s="47"/>
      <c r="S51" s="47"/>
      <c r="T51" s="47">
        <f t="shared" si="1"/>
        <v>239983</v>
      </c>
    </row>
    <row r="52" spans="1:20" ht="12.75">
      <c r="A52" s="19" t="s">
        <v>186</v>
      </c>
      <c r="C52" s="47">
        <v>39687</v>
      </c>
      <c r="D52" s="47"/>
      <c r="E52" s="47">
        <v>12390</v>
      </c>
      <c r="F52" s="47">
        <v>2350</v>
      </c>
      <c r="G52" s="47"/>
      <c r="H52" s="47">
        <v>350</v>
      </c>
      <c r="I52" s="47"/>
      <c r="J52" s="47">
        <f t="shared" si="0"/>
        <v>54777</v>
      </c>
      <c r="K52" s="47">
        <v>9990</v>
      </c>
      <c r="L52" s="47">
        <v>480</v>
      </c>
      <c r="M52" s="47" t="s">
        <v>16</v>
      </c>
      <c r="N52" s="47"/>
      <c r="O52" s="47"/>
      <c r="P52" s="47"/>
      <c r="Q52" s="47"/>
      <c r="R52" s="47"/>
      <c r="S52" s="47"/>
      <c r="T52" s="47">
        <f t="shared" si="1"/>
        <v>65247</v>
      </c>
    </row>
    <row r="53" spans="1:20" ht="12.75">
      <c r="A53" s="19" t="s">
        <v>187</v>
      </c>
      <c r="C53" s="47"/>
      <c r="D53" s="47"/>
      <c r="E53" s="47">
        <v>9223</v>
      </c>
      <c r="F53" s="47"/>
      <c r="G53" s="47"/>
      <c r="H53" s="47"/>
      <c r="I53" s="47"/>
      <c r="J53" s="47">
        <f t="shared" si="0"/>
        <v>9223</v>
      </c>
      <c r="K53" s="47"/>
      <c r="L53" s="47"/>
      <c r="M53" s="47"/>
      <c r="N53" s="47"/>
      <c r="O53" s="47"/>
      <c r="P53" s="47"/>
      <c r="Q53" s="47"/>
      <c r="R53" s="47"/>
      <c r="S53" s="47"/>
      <c r="T53" s="47">
        <f t="shared" si="1"/>
        <v>9223</v>
      </c>
    </row>
    <row r="54" spans="1:20" ht="12.75">
      <c r="A54" s="19" t="s">
        <v>188</v>
      </c>
      <c r="C54" s="47">
        <v>261810</v>
      </c>
      <c r="D54" s="47"/>
      <c r="E54" s="47">
        <v>91150</v>
      </c>
      <c r="F54" s="47">
        <v>2000</v>
      </c>
      <c r="G54" s="47"/>
      <c r="H54" s="47">
        <v>1300</v>
      </c>
      <c r="I54" s="47"/>
      <c r="J54" s="47">
        <f t="shared" si="0"/>
        <v>356260</v>
      </c>
      <c r="K54" s="47">
        <v>46606</v>
      </c>
      <c r="L54" s="47">
        <v>3690</v>
      </c>
      <c r="M54" s="47">
        <v>155</v>
      </c>
      <c r="N54" s="47"/>
      <c r="O54" s="47"/>
      <c r="P54" s="47"/>
      <c r="Q54" s="47"/>
      <c r="R54" s="47"/>
      <c r="S54" s="47"/>
      <c r="T54" s="47">
        <f t="shared" si="1"/>
        <v>406711</v>
      </c>
    </row>
    <row r="55" spans="1:20" ht="12.75">
      <c r="A55" s="19" t="s">
        <v>189</v>
      </c>
      <c r="C55" s="47">
        <v>12000</v>
      </c>
      <c r="D55" s="47"/>
      <c r="E55" s="47"/>
      <c r="F55" s="47">
        <v>175</v>
      </c>
      <c r="G55" s="47"/>
      <c r="H55" s="47">
        <v>7130</v>
      </c>
      <c r="I55" s="47"/>
      <c r="J55" s="47">
        <f t="shared" si="0"/>
        <v>19305</v>
      </c>
      <c r="K55" s="47"/>
      <c r="L55" s="47"/>
      <c r="M55" s="47"/>
      <c r="N55" s="47"/>
      <c r="O55" s="47"/>
      <c r="P55" s="47"/>
      <c r="Q55" s="47"/>
      <c r="R55" s="47"/>
      <c r="S55" s="47"/>
      <c r="T55" s="47">
        <f t="shared" si="1"/>
        <v>19305</v>
      </c>
    </row>
    <row r="56" spans="1:20" ht="12.75">
      <c r="A56" s="19" t="s">
        <v>190</v>
      </c>
      <c r="C56" s="47">
        <v>53968</v>
      </c>
      <c r="D56" s="47"/>
      <c r="E56" s="47">
        <v>12068</v>
      </c>
      <c r="F56" s="47">
        <v>1200</v>
      </c>
      <c r="G56" s="47"/>
      <c r="H56" s="47"/>
      <c r="I56" s="47"/>
      <c r="J56" s="47">
        <f t="shared" si="0"/>
        <v>67236</v>
      </c>
      <c r="K56" s="47">
        <v>3673</v>
      </c>
      <c r="L56" s="47">
        <v>660</v>
      </c>
      <c r="M56" s="47" t="s">
        <v>16</v>
      </c>
      <c r="N56" s="47"/>
      <c r="O56" s="47"/>
      <c r="P56" s="47"/>
      <c r="Q56" s="47"/>
      <c r="R56" s="47"/>
      <c r="S56" s="47"/>
      <c r="T56" s="47">
        <f t="shared" si="1"/>
        <v>71569</v>
      </c>
    </row>
    <row r="57" spans="1:20" ht="12.75">
      <c r="A57" s="19" t="s">
        <v>191</v>
      </c>
      <c r="C57" s="47">
        <v>161021</v>
      </c>
      <c r="D57" s="47">
        <v>51441</v>
      </c>
      <c r="E57" s="47">
        <v>75028</v>
      </c>
      <c r="F57" s="47">
        <v>9500</v>
      </c>
      <c r="G57" s="47"/>
      <c r="H57" s="47">
        <v>1675</v>
      </c>
      <c r="I57" s="47"/>
      <c r="J57" s="47">
        <f t="shared" si="0"/>
        <v>298665</v>
      </c>
      <c r="K57" s="47">
        <v>39933</v>
      </c>
      <c r="L57" s="47">
        <v>1470</v>
      </c>
      <c r="M57" s="47">
        <v>909</v>
      </c>
      <c r="N57" s="47"/>
      <c r="O57" s="47"/>
      <c r="P57" s="47"/>
      <c r="Q57" s="47"/>
      <c r="R57" s="47"/>
      <c r="S57" s="47"/>
      <c r="T57" s="47">
        <f t="shared" si="1"/>
        <v>340977</v>
      </c>
    </row>
    <row r="58" spans="1:20" ht="12.75">
      <c r="A58" s="19" t="s">
        <v>192</v>
      </c>
      <c r="C58" s="47">
        <v>639370</v>
      </c>
      <c r="D58" s="47">
        <v>12000</v>
      </c>
      <c r="E58" s="47">
        <v>5000</v>
      </c>
      <c r="F58" s="47">
        <v>227720</v>
      </c>
      <c r="G58" s="47"/>
      <c r="H58" s="47">
        <v>420</v>
      </c>
      <c r="I58" s="47"/>
      <c r="J58" s="47">
        <f t="shared" si="0"/>
        <v>884510</v>
      </c>
      <c r="K58" s="47">
        <v>53712</v>
      </c>
      <c r="L58" s="47">
        <v>4970</v>
      </c>
      <c r="M58" s="47">
        <v>3565</v>
      </c>
      <c r="N58" s="47"/>
      <c r="O58" s="47"/>
      <c r="P58" s="47"/>
      <c r="Q58" s="47"/>
      <c r="R58" s="47"/>
      <c r="S58" s="47"/>
      <c r="T58" s="47">
        <f t="shared" si="1"/>
        <v>946757</v>
      </c>
    </row>
    <row r="59" spans="1:20" ht="12.75">
      <c r="A59" s="19" t="s">
        <v>193</v>
      </c>
      <c r="C59" s="47">
        <v>135877</v>
      </c>
      <c r="D59" s="47"/>
      <c r="E59" s="47">
        <v>48000</v>
      </c>
      <c r="F59" s="47">
        <v>11000</v>
      </c>
      <c r="G59" s="47"/>
      <c r="H59" s="47">
        <v>60</v>
      </c>
      <c r="I59" s="47"/>
      <c r="J59" s="47">
        <f t="shared" si="0"/>
        <v>194937</v>
      </c>
      <c r="K59" s="47">
        <v>23310</v>
      </c>
      <c r="L59" s="47">
        <v>360</v>
      </c>
      <c r="M59" s="47">
        <v>54</v>
      </c>
      <c r="N59" s="47"/>
      <c r="O59" s="47"/>
      <c r="P59" s="47"/>
      <c r="Q59" s="47"/>
      <c r="R59" s="47"/>
      <c r="S59" s="47"/>
      <c r="T59" s="47">
        <f t="shared" si="1"/>
        <v>218661</v>
      </c>
    </row>
    <row r="60" spans="1:20" ht="12.75">
      <c r="A60" s="19" t="s">
        <v>194</v>
      </c>
      <c r="C60" s="47">
        <v>102612</v>
      </c>
      <c r="D60" s="47"/>
      <c r="E60" s="47">
        <v>200</v>
      </c>
      <c r="F60" s="47">
        <v>2500</v>
      </c>
      <c r="G60" s="47"/>
      <c r="H60" s="47">
        <v>1500</v>
      </c>
      <c r="I60" s="47"/>
      <c r="J60" s="47">
        <f t="shared" si="0"/>
        <v>106812</v>
      </c>
      <c r="K60" s="47">
        <v>29566</v>
      </c>
      <c r="L60" s="47"/>
      <c r="M60" s="47">
        <v>3095</v>
      </c>
      <c r="N60" s="47"/>
      <c r="O60" s="47"/>
      <c r="P60" s="47"/>
      <c r="Q60" s="47"/>
      <c r="R60" s="47"/>
      <c r="S60" s="47"/>
      <c r="T60" s="47">
        <f t="shared" si="1"/>
        <v>139473</v>
      </c>
    </row>
    <row r="61" spans="1:20" ht="12.75">
      <c r="A61" s="19" t="s">
        <v>195</v>
      </c>
      <c r="C61" s="47">
        <v>341053</v>
      </c>
      <c r="D61" s="47">
        <v>2000</v>
      </c>
      <c r="E61" s="47">
        <v>70200</v>
      </c>
      <c r="F61" s="47">
        <v>24000</v>
      </c>
      <c r="G61" s="47"/>
      <c r="H61" s="47">
        <v>300</v>
      </c>
      <c r="I61" s="47"/>
      <c r="J61" s="47">
        <f t="shared" si="0"/>
        <v>437553</v>
      </c>
      <c r="K61" s="47">
        <v>3553</v>
      </c>
      <c r="L61" s="47">
        <v>3490</v>
      </c>
      <c r="M61" s="47">
        <v>5757</v>
      </c>
      <c r="N61" s="47"/>
      <c r="O61" s="47"/>
      <c r="P61" s="47"/>
      <c r="Q61" s="47"/>
      <c r="R61" s="47"/>
      <c r="S61" s="47"/>
      <c r="T61" s="47">
        <f t="shared" si="1"/>
        <v>450353</v>
      </c>
    </row>
    <row r="62" spans="1:20" ht="12.75">
      <c r="A62" s="19" t="s">
        <v>196</v>
      </c>
      <c r="C62" s="47"/>
      <c r="D62" s="47"/>
      <c r="E62" s="47"/>
      <c r="F62" s="47"/>
      <c r="G62" s="47"/>
      <c r="H62" s="47"/>
      <c r="I62" s="47"/>
      <c r="J62" s="47">
        <f t="shared" si="0"/>
        <v>0</v>
      </c>
      <c r="K62" s="47"/>
      <c r="L62" s="47"/>
      <c r="M62" s="47"/>
      <c r="N62" s="47"/>
      <c r="O62" s="47"/>
      <c r="P62" s="47"/>
      <c r="Q62" s="47"/>
      <c r="R62" s="47">
        <v>2816675</v>
      </c>
      <c r="S62" s="47"/>
      <c r="T62" s="47">
        <f t="shared" si="1"/>
        <v>2816675</v>
      </c>
    </row>
    <row r="63" spans="1:20" ht="12.75">
      <c r="A63" s="19" t="s">
        <v>198</v>
      </c>
      <c r="C63" s="47"/>
      <c r="D63" s="47"/>
      <c r="E63" s="47"/>
      <c r="F63" s="47"/>
      <c r="G63" s="47" t="s">
        <v>16</v>
      </c>
      <c r="H63" s="47"/>
      <c r="I63" s="47"/>
      <c r="J63" s="47">
        <f t="shared" si="0"/>
        <v>0</v>
      </c>
      <c r="K63" s="47"/>
      <c r="L63" s="47"/>
      <c r="M63" s="47" t="s">
        <v>16</v>
      </c>
      <c r="N63" s="47"/>
      <c r="O63" s="47"/>
      <c r="P63" s="47"/>
      <c r="Q63" s="47"/>
      <c r="R63" s="47"/>
      <c r="S63" s="47"/>
      <c r="T63" s="47">
        <f t="shared" si="1"/>
        <v>0</v>
      </c>
    </row>
    <row r="64" spans="3:20" ht="12.75">
      <c r="C64" s="47"/>
      <c r="D64" s="47"/>
      <c r="E64" s="47"/>
      <c r="F64" s="47"/>
      <c r="G64" s="47"/>
      <c r="H64" s="47"/>
      <c r="I64" s="47"/>
      <c r="J64" s="47">
        <f t="shared" si="0"/>
        <v>0</v>
      </c>
      <c r="K64" s="47"/>
      <c r="L64" s="47"/>
      <c r="M64" s="47"/>
      <c r="N64" s="47"/>
      <c r="O64" s="47"/>
      <c r="P64" s="47"/>
      <c r="Q64" s="47"/>
      <c r="R64" s="47"/>
      <c r="S64" s="47"/>
      <c r="T64" s="47">
        <f t="shared" si="1"/>
        <v>0</v>
      </c>
    </row>
    <row r="65" spans="3:21" ht="12.75">
      <c r="C65" s="47">
        <f aca="true" t="shared" si="2" ref="C65:H65">SUM(C6:C63)</f>
        <v>12815247</v>
      </c>
      <c r="D65" s="47">
        <f t="shared" si="2"/>
        <v>538733</v>
      </c>
      <c r="E65" s="47">
        <f t="shared" si="2"/>
        <v>1869770</v>
      </c>
      <c r="F65" s="47">
        <f t="shared" si="2"/>
        <v>987404</v>
      </c>
      <c r="G65" s="47">
        <f t="shared" si="2"/>
        <v>111992</v>
      </c>
      <c r="H65" s="47">
        <f t="shared" si="2"/>
        <v>306887</v>
      </c>
      <c r="I65" s="51" t="s">
        <v>16</v>
      </c>
      <c r="J65" s="47">
        <f t="shared" si="0"/>
        <v>16630033</v>
      </c>
      <c r="K65" s="47">
        <f aca="true" t="shared" si="3" ref="K65:R65">SUM(K6:K63)</f>
        <v>3516764</v>
      </c>
      <c r="L65" s="47">
        <f t="shared" si="3"/>
        <v>136170</v>
      </c>
      <c r="M65" s="47">
        <f>SUM(M6:M63)</f>
        <v>193390</v>
      </c>
      <c r="N65" s="47">
        <f t="shared" si="3"/>
        <v>2532445</v>
      </c>
      <c r="O65" s="47">
        <f t="shared" si="3"/>
        <v>400000</v>
      </c>
      <c r="P65" s="47">
        <f t="shared" si="3"/>
        <v>4963349</v>
      </c>
      <c r="Q65" s="47">
        <f t="shared" si="3"/>
        <v>2609220</v>
      </c>
      <c r="R65" s="47">
        <f t="shared" si="3"/>
        <v>2816675</v>
      </c>
      <c r="S65" s="47" t="s">
        <v>16</v>
      </c>
      <c r="T65" s="47">
        <f t="shared" si="1"/>
        <v>33798046</v>
      </c>
      <c r="U65" s="176" t="s">
        <v>16</v>
      </c>
    </row>
    <row r="66" spans="3:20" ht="12.7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 t="s">
        <v>16</v>
      </c>
    </row>
    <row r="67" spans="1:20" ht="12.75">
      <c r="A67" t="s">
        <v>285</v>
      </c>
      <c r="C67" s="47"/>
      <c r="D67" s="47"/>
      <c r="E67" s="47"/>
      <c r="F67" s="47"/>
      <c r="G67" s="47"/>
      <c r="H67" s="47"/>
      <c r="I67" s="47"/>
      <c r="J67" s="47"/>
      <c r="K67" s="47">
        <v>2995627</v>
      </c>
      <c r="L67" s="47">
        <v>175340</v>
      </c>
      <c r="M67" s="47">
        <v>108768</v>
      </c>
      <c r="N67" s="47"/>
      <c r="O67" s="47"/>
      <c r="P67" s="47"/>
      <c r="Q67" s="47"/>
      <c r="R67" s="47"/>
      <c r="S67" s="47"/>
      <c r="T67" s="47">
        <f t="shared" si="1"/>
        <v>3279735</v>
      </c>
    </row>
    <row r="68" spans="3:20" ht="12.7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ht="12.75">
      <c r="A69" t="s">
        <v>205</v>
      </c>
      <c r="C69" s="47"/>
      <c r="D69" s="47"/>
      <c r="E69" s="47"/>
      <c r="F69" s="47"/>
      <c r="G69" s="47"/>
      <c r="H69" s="47"/>
      <c r="I69" s="47"/>
      <c r="J69" s="47"/>
      <c r="K69" s="47">
        <f>SUM(K65:K67)</f>
        <v>6512391</v>
      </c>
      <c r="L69" s="47">
        <f>SUM(L65:L67)</f>
        <v>311510</v>
      </c>
      <c r="M69" s="47">
        <f>SUM(M65:M67)</f>
        <v>302158</v>
      </c>
      <c r="N69" s="47"/>
      <c r="O69" s="47"/>
      <c r="P69" s="47"/>
      <c r="Q69" s="47"/>
      <c r="R69" s="47"/>
      <c r="S69" s="47"/>
      <c r="T69" s="47">
        <f>SUM(T65:T67)</f>
        <v>37077781</v>
      </c>
    </row>
    <row r="72" ht="12.75">
      <c r="A72" t="s">
        <v>206</v>
      </c>
    </row>
  </sheetData>
  <printOptions headings="1"/>
  <pageMargins left="0.75" right="0.75" top="1" bottom="1" header="0.5" footer="0.5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1"/>
  <sheetViews>
    <sheetView tabSelected="1" view="pageBreakPreview" zoomScale="60" workbookViewId="0" topLeftCell="A1">
      <pane xSplit="4" ySplit="4" topLeftCell="N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63" sqref="AA63"/>
    </sheetView>
  </sheetViews>
  <sheetFormatPr defaultColWidth="9.140625" defaultRowHeight="12.75"/>
  <cols>
    <col min="1" max="1" width="12.28125" style="0" bestFit="1" customWidth="1"/>
    <col min="4" max="4" width="5.7109375" style="0" hidden="1" customWidth="1"/>
    <col min="5" max="5" width="10.28125" style="0" hidden="1" customWidth="1"/>
    <col min="6" max="6" width="2.7109375" style="0" hidden="1" customWidth="1"/>
    <col min="7" max="7" width="7.7109375" style="0" hidden="1" customWidth="1"/>
    <col min="8" max="8" width="9.140625" style="31" hidden="1" customWidth="1"/>
    <col min="9" max="9" width="2.00390625" style="31" hidden="1" customWidth="1"/>
    <col min="10" max="10" width="7.7109375" style="0" hidden="1" customWidth="1"/>
    <col min="11" max="11" width="8.7109375" style="0" hidden="1" customWidth="1"/>
    <col min="12" max="12" width="4.140625" style="0" hidden="1" customWidth="1"/>
    <col min="13" max="13" width="7.7109375" style="0" hidden="1" customWidth="1"/>
    <col min="14" max="14" width="8.8515625" style="31" customWidth="1"/>
    <col min="15" max="15" width="3.8515625" style="0" customWidth="1"/>
    <col min="16" max="16" width="8.00390625" style="0" bestFit="1" customWidth="1"/>
    <col min="17" max="17" width="8.8515625" style="31" customWidth="1"/>
    <col min="18" max="18" width="3.421875" style="0" customWidth="1"/>
    <col min="19" max="19" width="7.7109375" style="0" customWidth="1"/>
    <col min="20" max="20" width="9.28125" style="407" customWidth="1"/>
    <col min="21" max="21" width="2.00390625" style="0" bestFit="1" customWidth="1"/>
    <col min="22" max="22" width="8.00390625" style="0" bestFit="1" customWidth="1"/>
    <col min="24" max="24" width="2.00390625" style="0" bestFit="1" customWidth="1"/>
    <col min="25" max="25" width="8.28125" style="0" bestFit="1" customWidth="1"/>
    <col min="26" max="26" width="10.140625" style="0" customWidth="1"/>
    <col min="27" max="27" width="4.7109375" style="0" customWidth="1"/>
    <col min="37" max="37" width="0" style="0" hidden="1" customWidth="1"/>
  </cols>
  <sheetData>
    <row r="1" spans="1:26" ht="12.75">
      <c r="A1" s="17">
        <f ca="1">NOW()</f>
        <v>39137.01865625</v>
      </c>
      <c r="C1" t="s">
        <v>623</v>
      </c>
      <c r="E1" s="1" t="s">
        <v>0</v>
      </c>
      <c r="F1" s="1"/>
      <c r="G1" s="1"/>
      <c r="H1" s="33" t="s">
        <v>3</v>
      </c>
      <c r="I1" s="33"/>
      <c r="J1" s="1"/>
      <c r="K1" s="1" t="s">
        <v>4</v>
      </c>
      <c r="L1" s="1"/>
      <c r="M1" s="1"/>
      <c r="N1" s="33" t="s">
        <v>5</v>
      </c>
      <c r="O1" s="1"/>
      <c r="P1" s="1"/>
      <c r="Q1" s="396" t="s">
        <v>6</v>
      </c>
      <c r="R1" s="1"/>
      <c r="S1" s="1"/>
      <c r="T1" s="405" t="s">
        <v>7</v>
      </c>
      <c r="V1" s="1"/>
      <c r="W1" s="1" t="s">
        <v>210</v>
      </c>
      <c r="Y1" s="1"/>
      <c r="Z1" s="1" t="s">
        <v>331</v>
      </c>
    </row>
    <row r="2" spans="5:26" ht="12.75">
      <c r="E2" s="2" t="s">
        <v>1</v>
      </c>
      <c r="F2" s="2"/>
      <c r="G2" s="2" t="s">
        <v>2</v>
      </c>
      <c r="H2" s="34" t="s">
        <v>41</v>
      </c>
      <c r="I2" s="34"/>
      <c r="J2" s="2" t="s">
        <v>2</v>
      </c>
      <c r="K2" s="2" t="s">
        <v>41</v>
      </c>
      <c r="L2" s="2"/>
      <c r="M2" s="2" t="s">
        <v>2</v>
      </c>
      <c r="N2" s="34" t="s">
        <v>41</v>
      </c>
      <c r="O2" s="2"/>
      <c r="P2" s="2" t="s">
        <v>2</v>
      </c>
      <c r="Q2" s="397" t="s">
        <v>41</v>
      </c>
      <c r="R2" s="2"/>
      <c r="S2" s="2" t="s">
        <v>2</v>
      </c>
      <c r="T2" s="406" t="s">
        <v>41</v>
      </c>
      <c r="V2" s="2" t="s">
        <v>2</v>
      </c>
      <c r="W2" s="2" t="s">
        <v>41</v>
      </c>
      <c r="Y2" s="2" t="s">
        <v>2</v>
      </c>
      <c r="Z2" s="2" t="s">
        <v>41</v>
      </c>
    </row>
    <row r="3" spans="1:28" ht="12.75">
      <c r="A3" s="179" t="s">
        <v>23</v>
      </c>
      <c r="E3" s="4"/>
      <c r="F3" s="4"/>
      <c r="H3" s="27"/>
      <c r="I3" s="27"/>
      <c r="K3" s="4"/>
      <c r="L3" s="4"/>
      <c r="Q3" s="307"/>
      <c r="AB3" s="355" t="s">
        <v>503</v>
      </c>
    </row>
    <row r="4" spans="5:17" ht="7.5" customHeight="1">
      <c r="E4" s="46"/>
      <c r="F4" s="27"/>
      <c r="H4" s="46"/>
      <c r="I4" s="27"/>
      <c r="K4" s="4"/>
      <c r="L4" s="4"/>
      <c r="Q4" s="307"/>
    </row>
    <row r="5" spans="1:26" ht="12.75" customHeight="1">
      <c r="A5" t="s">
        <v>24</v>
      </c>
      <c r="E5" s="46">
        <v>38317</v>
      </c>
      <c r="F5" s="27"/>
      <c r="G5" s="31"/>
      <c r="H5" s="46">
        <f>+E5+E6+E7+E9</f>
        <v>42739</v>
      </c>
      <c r="I5" s="27"/>
      <c r="K5" s="46">
        <v>46864</v>
      </c>
      <c r="L5" s="27"/>
      <c r="N5" s="27">
        <f>+K5+K6+K7+K9</f>
        <v>48750.6</v>
      </c>
      <c r="O5" s="27"/>
      <c r="Q5" s="305">
        <v>50536</v>
      </c>
      <c r="R5" s="4"/>
      <c r="T5" s="430">
        <f>+Q5+Q6+Q7+Q9</f>
        <v>52486.4</v>
      </c>
      <c r="W5" s="27">
        <f>+T5+T6+T7</f>
        <v>54479.560000000005</v>
      </c>
      <c r="Z5" s="27">
        <f>+W5+W6+W7+W9</f>
        <v>56491.549000000006</v>
      </c>
    </row>
    <row r="6" spans="1:28" ht="12.75" customHeight="1">
      <c r="A6" t="s">
        <v>59</v>
      </c>
      <c r="E6" s="46">
        <v>957</v>
      </c>
      <c r="F6" s="27"/>
      <c r="G6" s="41" t="s">
        <v>16</v>
      </c>
      <c r="H6" s="46">
        <v>1069</v>
      </c>
      <c r="I6" s="27"/>
      <c r="J6" s="8">
        <v>0.025</v>
      </c>
      <c r="K6" s="46">
        <f>+K5*J6</f>
        <v>1171.6000000000001</v>
      </c>
      <c r="L6" s="27"/>
      <c r="M6" s="8">
        <v>0.025</v>
      </c>
      <c r="N6" s="27">
        <f>+N5*M6</f>
        <v>1218.765</v>
      </c>
      <c r="O6" s="27"/>
      <c r="P6" s="8">
        <v>0.025</v>
      </c>
      <c r="Q6" s="305">
        <f>+Q5*P6</f>
        <v>1263.4</v>
      </c>
      <c r="R6" s="27"/>
      <c r="S6" s="8">
        <v>0.025</v>
      </c>
      <c r="T6" s="391">
        <f>+T5*S6</f>
        <v>1312.16</v>
      </c>
      <c r="V6" s="8">
        <v>0.025</v>
      </c>
      <c r="W6" s="27">
        <f>+W5*V6</f>
        <v>1361.9890000000003</v>
      </c>
      <c r="Y6" s="8">
        <v>0.025</v>
      </c>
      <c r="Z6" s="27">
        <f>+Z5*Y6</f>
        <v>1412.2887250000003</v>
      </c>
      <c r="AB6" t="s">
        <v>504</v>
      </c>
    </row>
    <row r="7" spans="1:28" ht="12.75" customHeight="1">
      <c r="A7" t="s">
        <v>25</v>
      </c>
      <c r="E7" s="46">
        <v>465</v>
      </c>
      <c r="F7" s="27"/>
      <c r="G7" s="33" t="s">
        <v>16</v>
      </c>
      <c r="H7" s="46">
        <v>643</v>
      </c>
      <c r="I7" s="27"/>
      <c r="K7" s="46">
        <v>715</v>
      </c>
      <c r="L7" s="4"/>
      <c r="N7" s="10">
        <v>565</v>
      </c>
      <c r="O7" s="4"/>
      <c r="P7" t="s">
        <v>495</v>
      </c>
      <c r="Q7" s="305">
        <v>687</v>
      </c>
      <c r="R7" s="4"/>
      <c r="S7" s="31"/>
      <c r="T7" s="391">
        <v>681</v>
      </c>
      <c r="U7" s="27"/>
      <c r="V7" s="31"/>
      <c r="W7" s="27">
        <v>650</v>
      </c>
      <c r="X7" s="27"/>
      <c r="Y7" s="31"/>
      <c r="Z7" s="27">
        <v>525</v>
      </c>
      <c r="AB7" t="s">
        <v>16</v>
      </c>
    </row>
    <row r="8" spans="1:26" ht="14.25">
      <c r="A8" t="s">
        <v>60</v>
      </c>
      <c r="E8" s="46">
        <v>0</v>
      </c>
      <c r="F8" s="27"/>
      <c r="G8" s="33"/>
      <c r="H8" s="46">
        <v>0</v>
      </c>
      <c r="I8" s="27"/>
      <c r="K8" s="46">
        <v>0</v>
      </c>
      <c r="L8" s="4"/>
      <c r="N8" s="27">
        <v>0</v>
      </c>
      <c r="O8" s="4"/>
      <c r="Q8" s="305">
        <v>0</v>
      </c>
      <c r="R8" s="4"/>
      <c r="S8" s="31"/>
      <c r="T8" s="391">
        <v>0</v>
      </c>
      <c r="U8" s="31"/>
      <c r="V8" s="31"/>
      <c r="W8" s="27">
        <v>0</v>
      </c>
      <c r="X8" s="31"/>
      <c r="Y8" s="31"/>
      <c r="Z8" s="27">
        <v>0</v>
      </c>
    </row>
    <row r="9" spans="1:26" ht="12.75" hidden="1">
      <c r="A9" t="s">
        <v>128</v>
      </c>
      <c r="E9" s="46">
        <v>3000</v>
      </c>
      <c r="F9" s="27"/>
      <c r="G9" s="33"/>
      <c r="H9" s="46">
        <v>2400</v>
      </c>
      <c r="I9" s="27"/>
      <c r="K9" s="46"/>
      <c r="L9" s="4"/>
      <c r="N9" s="27"/>
      <c r="O9" s="4"/>
      <c r="Q9" s="305"/>
      <c r="R9" s="4"/>
      <c r="S9" s="31"/>
      <c r="T9" s="391"/>
      <c r="U9" s="31"/>
      <c r="V9" s="31"/>
      <c r="W9" s="27"/>
      <c r="X9" s="31"/>
      <c r="Y9" s="31"/>
      <c r="Z9" s="27"/>
    </row>
    <row r="10" spans="1:26" ht="12.75">
      <c r="A10" t="s">
        <v>208</v>
      </c>
      <c r="E10" s="46"/>
      <c r="F10" s="27"/>
      <c r="G10" s="33"/>
      <c r="H10" s="46">
        <v>-466</v>
      </c>
      <c r="I10" s="27"/>
      <c r="K10" s="46">
        <v>-3</v>
      </c>
      <c r="L10" s="4"/>
      <c r="N10" s="27">
        <v>-66</v>
      </c>
      <c r="O10" s="4"/>
      <c r="Q10" s="305"/>
      <c r="R10" s="4"/>
      <c r="S10" s="31"/>
      <c r="T10" s="437">
        <v>-47</v>
      </c>
      <c r="U10" s="31"/>
      <c r="V10" s="31"/>
      <c r="W10" s="27"/>
      <c r="X10" s="31"/>
      <c r="Y10" s="31"/>
      <c r="Z10" s="27"/>
    </row>
    <row r="11" spans="1:28" ht="12.75" customHeight="1">
      <c r="A11" t="s">
        <v>61</v>
      </c>
      <c r="E11" s="157">
        <v>793</v>
      </c>
      <c r="F11" s="10"/>
      <c r="G11" s="33" t="s">
        <v>40</v>
      </c>
      <c r="H11" s="157">
        <v>779</v>
      </c>
      <c r="I11" s="10"/>
      <c r="K11" s="157">
        <f>K85</f>
        <v>2273.573</v>
      </c>
      <c r="L11" s="24"/>
      <c r="N11" s="28">
        <f>N85</f>
        <v>2815.933</v>
      </c>
      <c r="O11" s="24"/>
      <c r="Q11" s="306">
        <f>Q85</f>
        <v>2727.383</v>
      </c>
      <c r="R11" s="24"/>
      <c r="S11" s="31"/>
      <c r="T11" s="408">
        <f>T85</f>
        <v>3052.383</v>
      </c>
      <c r="U11" s="31"/>
      <c r="V11" s="31"/>
      <c r="W11" s="28">
        <f>W85</f>
        <v>3667.2960000000003</v>
      </c>
      <c r="X11" s="31"/>
      <c r="Y11" s="31"/>
      <c r="Z11" s="28">
        <f>Z85</f>
        <v>3587.7450000000003</v>
      </c>
      <c r="AB11" t="s">
        <v>522</v>
      </c>
    </row>
    <row r="12" spans="1:29" ht="12.75" customHeight="1">
      <c r="A12" t="s">
        <v>26</v>
      </c>
      <c r="E12" s="46">
        <f>SUM(E5:E11)</f>
        <v>43532</v>
      </c>
      <c r="F12" s="27"/>
      <c r="G12" s="31"/>
      <c r="H12" s="161">
        <f>SUM(H5:H11)</f>
        <v>47164</v>
      </c>
      <c r="I12" s="10"/>
      <c r="K12" s="161">
        <f>SUM(K5:K11)</f>
        <v>51021.172999999995</v>
      </c>
      <c r="L12" s="24"/>
      <c r="N12" s="188">
        <f>SUM(N5:N11)</f>
        <v>53284.297999999995</v>
      </c>
      <c r="O12" s="24"/>
      <c r="Q12" s="311">
        <f>SUM(Q5:Q11)</f>
        <v>55213.783</v>
      </c>
      <c r="R12" s="24"/>
      <c r="S12" s="31"/>
      <c r="T12" s="431">
        <f>SUM(T5:T11)</f>
        <v>57484.94300000001</v>
      </c>
      <c r="U12" s="31"/>
      <c r="V12" s="31"/>
      <c r="W12" s="188">
        <f>SUM(W5:W11)</f>
        <v>60158.84500000001</v>
      </c>
      <c r="X12" s="31"/>
      <c r="Y12" s="31"/>
      <c r="Z12" s="188">
        <f>SUM(Z5:Z11)</f>
        <v>62016.58272500001</v>
      </c>
      <c r="AC12" t="s">
        <v>562</v>
      </c>
    </row>
    <row r="13" spans="5:26" ht="12.75" customHeight="1">
      <c r="E13" s="46"/>
      <c r="F13" s="27"/>
      <c r="G13" s="31"/>
      <c r="H13" s="46"/>
      <c r="I13" s="27"/>
      <c r="K13" s="46"/>
      <c r="L13" s="4"/>
      <c r="Q13" s="307"/>
      <c r="S13" s="31"/>
      <c r="U13" s="31"/>
      <c r="V13" s="31"/>
      <c r="W13" s="31"/>
      <c r="X13" s="31"/>
      <c r="Y13" s="31"/>
      <c r="Z13" s="31"/>
    </row>
    <row r="14" spans="1:28" ht="12.75" customHeight="1">
      <c r="A14" t="s">
        <v>27</v>
      </c>
      <c r="E14" s="46">
        <v>2750</v>
      </c>
      <c r="F14" s="27"/>
      <c r="G14" s="41" t="s">
        <v>16</v>
      </c>
      <c r="H14" s="46">
        <v>2575</v>
      </c>
      <c r="I14" s="27"/>
      <c r="J14" s="7">
        <v>0</v>
      </c>
      <c r="K14" s="46">
        <f>+H14+(H14*J14)+100</f>
        <v>2675</v>
      </c>
      <c r="L14" s="4"/>
      <c r="M14" s="7">
        <v>0</v>
      </c>
      <c r="N14" s="27">
        <v>2575</v>
      </c>
      <c r="O14" s="4"/>
      <c r="P14" s="8">
        <f>+(Q14-N14)/N14</f>
        <v>-0.05825242718446602</v>
      </c>
      <c r="Q14" s="305">
        <v>2425</v>
      </c>
      <c r="R14" s="4"/>
      <c r="S14" s="41">
        <f>+(T14-Q14)/Q14</f>
        <v>0.07216494845360824</v>
      </c>
      <c r="T14" s="391">
        <v>2600</v>
      </c>
      <c r="U14" s="31"/>
      <c r="V14" s="40">
        <v>0.02</v>
      </c>
      <c r="W14" s="27">
        <f>+T14+(T14*V14)</f>
        <v>2652</v>
      </c>
      <c r="X14" s="31"/>
      <c r="Y14" s="40">
        <v>0.02</v>
      </c>
      <c r="Z14" s="27">
        <f>+W14+(W14*Y14)</f>
        <v>2705.04</v>
      </c>
      <c r="AB14" t="s">
        <v>16</v>
      </c>
    </row>
    <row r="15" spans="1:26" ht="12.75" customHeight="1">
      <c r="A15" t="s">
        <v>28</v>
      </c>
      <c r="E15" s="46">
        <v>160</v>
      </c>
      <c r="F15" s="27"/>
      <c r="G15" s="31"/>
      <c r="H15" s="46">
        <v>165</v>
      </c>
      <c r="I15" s="27"/>
      <c r="K15" s="46">
        <v>167</v>
      </c>
      <c r="L15" s="4"/>
      <c r="N15" s="27">
        <v>230</v>
      </c>
      <c r="O15" s="4"/>
      <c r="Q15" s="305">
        <v>174</v>
      </c>
      <c r="R15" s="4"/>
      <c r="S15" s="31"/>
      <c r="T15" s="391">
        <v>100</v>
      </c>
      <c r="U15" s="31"/>
      <c r="V15" s="31"/>
      <c r="W15" s="27">
        <v>120</v>
      </c>
      <c r="X15" s="31"/>
      <c r="Y15" s="31"/>
      <c r="Z15" s="27">
        <v>120</v>
      </c>
    </row>
    <row r="16" spans="1:28" ht="12.75" customHeight="1">
      <c r="A16" t="s">
        <v>64</v>
      </c>
      <c r="C16" s="18"/>
      <c r="E16" s="46">
        <f>+E89</f>
        <v>1084</v>
      </c>
      <c r="F16" s="27"/>
      <c r="G16" s="31"/>
      <c r="H16" s="46">
        <v>1078</v>
      </c>
      <c r="I16" s="27"/>
      <c r="K16" s="46">
        <f>+K89</f>
        <v>1178</v>
      </c>
      <c r="L16" s="4"/>
      <c r="N16" s="27">
        <f>650+528</f>
        <v>1178</v>
      </c>
      <c r="O16" s="4"/>
      <c r="Q16" s="305">
        <v>523</v>
      </c>
      <c r="R16" s="27"/>
      <c r="S16" s="31"/>
      <c r="T16" s="391">
        <v>368</v>
      </c>
      <c r="U16" s="31"/>
      <c r="V16" s="31"/>
      <c r="W16" s="27">
        <v>200</v>
      </c>
      <c r="X16" s="31"/>
      <c r="Y16" s="31"/>
      <c r="Z16" s="27">
        <v>0</v>
      </c>
      <c r="AB16" t="s">
        <v>541</v>
      </c>
    </row>
    <row r="17" spans="1:26" ht="12.75" customHeight="1">
      <c r="A17" t="s">
        <v>29</v>
      </c>
      <c r="E17" s="46"/>
      <c r="F17" s="27"/>
      <c r="G17" s="31"/>
      <c r="H17" s="46"/>
      <c r="I17" s="27"/>
      <c r="K17" s="46"/>
      <c r="L17" s="4"/>
      <c r="N17" s="27"/>
      <c r="O17" s="4"/>
      <c r="Q17" s="305"/>
      <c r="R17" s="4"/>
      <c r="S17" s="31"/>
      <c r="T17" s="391"/>
      <c r="U17" s="31"/>
      <c r="V17" s="31"/>
      <c r="W17" s="27"/>
      <c r="X17" s="31"/>
      <c r="Y17" s="31"/>
      <c r="Z17" s="27"/>
    </row>
    <row r="18" spans="1:26" s="19" customFormat="1" ht="12.75" customHeight="1">
      <c r="A18" s="19" t="s">
        <v>30</v>
      </c>
      <c r="E18" s="160">
        <f>+SUM(E12:E17)</f>
        <v>47526</v>
      </c>
      <c r="F18" s="35"/>
      <c r="G18" s="36"/>
      <c r="H18" s="160">
        <f>+SUM(H12:H17)</f>
        <v>50982</v>
      </c>
      <c r="I18" s="35"/>
      <c r="K18" s="160">
        <f>+SUM(K12:K17)</f>
        <v>55041.172999999995</v>
      </c>
      <c r="L18" s="29"/>
      <c r="N18" s="35">
        <f>+SUM(N12:N17)</f>
        <v>57267.297999999995</v>
      </c>
      <c r="O18" s="29"/>
      <c r="Q18" s="398">
        <f>+SUM(Q12:Q17)</f>
        <v>58335.783</v>
      </c>
      <c r="R18" s="29"/>
      <c r="S18" s="36"/>
      <c r="T18" s="410">
        <f>+SUM(T12:T17)</f>
        <v>60552.94300000001</v>
      </c>
      <c r="U18" s="36"/>
      <c r="V18" s="36"/>
      <c r="W18" s="35">
        <f>+SUM(W12:W17)</f>
        <v>63130.84500000001</v>
      </c>
      <c r="X18" s="36"/>
      <c r="Y18" s="36"/>
      <c r="Z18" s="35">
        <f>+SUM(Z12:Z17)</f>
        <v>64841.62272500001</v>
      </c>
    </row>
    <row r="19" spans="5:26" ht="12.75" customHeight="1">
      <c r="E19" s="46"/>
      <c r="F19" s="27"/>
      <c r="G19" s="31"/>
      <c r="H19" s="46"/>
      <c r="I19" s="27"/>
      <c r="K19" s="46"/>
      <c r="L19" s="4"/>
      <c r="Q19" s="307"/>
      <c r="S19" s="31"/>
      <c r="U19" s="31"/>
      <c r="V19" s="31"/>
      <c r="W19" s="31"/>
      <c r="X19" s="31"/>
      <c r="Y19" s="31"/>
      <c r="Z19" s="31"/>
    </row>
    <row r="20" spans="1:26" ht="12.75" customHeight="1">
      <c r="A20" t="s">
        <v>55</v>
      </c>
      <c r="E20" s="46">
        <v>432</v>
      </c>
      <c r="F20" s="27"/>
      <c r="G20" s="31"/>
      <c r="H20" s="46">
        <v>453</v>
      </c>
      <c r="I20" s="27"/>
      <c r="K20" s="46">
        <v>412</v>
      </c>
      <c r="L20" s="4"/>
      <c r="N20" s="27">
        <f>206+212</f>
        <v>418</v>
      </c>
      <c r="O20" s="4"/>
      <c r="Q20" s="305">
        <f>205.7+237.8</f>
        <v>443.5</v>
      </c>
      <c r="R20" s="4"/>
      <c r="S20" s="31"/>
      <c r="T20" s="391">
        <f>240.1+263.7</f>
        <v>503.79999999999995</v>
      </c>
      <c r="U20" s="31"/>
      <c r="V20" s="31"/>
      <c r="W20" s="27">
        <v>554</v>
      </c>
      <c r="X20" s="31"/>
      <c r="Y20" s="31"/>
      <c r="Z20" s="27">
        <v>554</v>
      </c>
    </row>
    <row r="21" spans="1:26" ht="12.75" customHeight="1">
      <c r="A21" t="s">
        <v>56</v>
      </c>
      <c r="E21" s="46">
        <v>425</v>
      </c>
      <c r="F21" s="27"/>
      <c r="G21" s="31"/>
      <c r="H21" s="46">
        <v>386</v>
      </c>
      <c r="I21" s="27"/>
      <c r="K21" s="46">
        <v>471</v>
      </c>
      <c r="L21" s="4"/>
      <c r="N21" s="27">
        <v>500</v>
      </c>
      <c r="O21" s="4"/>
      <c r="Q21" s="305">
        <v>389</v>
      </c>
      <c r="R21" s="4"/>
      <c r="S21" s="31"/>
      <c r="T21" s="391">
        <v>650</v>
      </c>
      <c r="U21" s="31"/>
      <c r="V21" s="31"/>
      <c r="W21" s="27">
        <v>420</v>
      </c>
      <c r="X21" s="31"/>
      <c r="Y21" s="31"/>
      <c r="Z21" s="27">
        <v>420</v>
      </c>
    </row>
    <row r="22" spans="1:26" ht="12.75" customHeight="1">
      <c r="A22" t="s">
        <v>31</v>
      </c>
      <c r="E22" s="46"/>
      <c r="F22" s="27"/>
      <c r="G22" s="31"/>
      <c r="H22" s="46"/>
      <c r="I22" s="27"/>
      <c r="J22" s="4"/>
      <c r="K22" s="46"/>
      <c r="L22" s="4"/>
      <c r="Q22" s="307"/>
      <c r="S22" s="31"/>
      <c r="U22" s="31"/>
      <c r="V22" s="31"/>
      <c r="W22" s="31"/>
      <c r="X22" s="31"/>
      <c r="Y22" s="31"/>
      <c r="Z22" s="31"/>
    </row>
    <row r="23" spans="2:26" ht="12.75" customHeight="1">
      <c r="B23" t="s">
        <v>32</v>
      </c>
      <c r="E23" s="46">
        <v>50</v>
      </c>
      <c r="F23" s="27"/>
      <c r="G23" s="40" t="s">
        <v>16</v>
      </c>
      <c r="H23" s="46">
        <v>50</v>
      </c>
      <c r="I23" s="27"/>
      <c r="J23" s="7" t="s">
        <v>16</v>
      </c>
      <c r="K23" s="46">
        <v>50</v>
      </c>
      <c r="L23" s="4"/>
      <c r="M23" s="7">
        <v>0.02</v>
      </c>
      <c r="N23" s="27">
        <f>+K23+(K23*M23)</f>
        <v>51</v>
      </c>
      <c r="O23" s="4"/>
      <c r="P23" s="7">
        <v>0.02</v>
      </c>
      <c r="Q23" s="305">
        <v>60</v>
      </c>
      <c r="R23" s="4"/>
      <c r="S23" s="40">
        <v>0.02</v>
      </c>
      <c r="T23" s="391">
        <v>65</v>
      </c>
      <c r="U23" s="31"/>
      <c r="V23" s="40">
        <v>0.02</v>
      </c>
      <c r="W23" s="27">
        <f>+T23+(T23*V23)</f>
        <v>66.3</v>
      </c>
      <c r="X23" s="31"/>
      <c r="Y23" s="40">
        <v>0.02</v>
      </c>
      <c r="Z23" s="27">
        <f>+W23+(W23*Y23)</f>
        <v>67.62599999999999</v>
      </c>
    </row>
    <row r="24" spans="2:26" ht="12.75" customHeight="1">
      <c r="B24" t="s">
        <v>100</v>
      </c>
      <c r="E24" s="46">
        <v>92</v>
      </c>
      <c r="F24" s="27"/>
      <c r="G24" s="40" t="s">
        <v>16</v>
      </c>
      <c r="H24" s="46">
        <v>105</v>
      </c>
      <c r="I24" s="27"/>
      <c r="J24" s="7" t="s">
        <v>16</v>
      </c>
      <c r="K24" s="46">
        <v>98</v>
      </c>
      <c r="L24" s="4"/>
      <c r="M24" s="7">
        <v>0.02</v>
      </c>
      <c r="N24" s="27">
        <v>104</v>
      </c>
      <c r="O24" s="4"/>
      <c r="P24" s="7">
        <v>0.02</v>
      </c>
      <c r="Q24" s="305">
        <v>109</v>
      </c>
      <c r="R24" s="4"/>
      <c r="S24" s="40">
        <v>0.02</v>
      </c>
      <c r="T24" s="391">
        <v>93</v>
      </c>
      <c r="U24" s="31"/>
      <c r="V24" s="40">
        <v>0.1</v>
      </c>
      <c r="W24" s="27">
        <f>+T24+(T24*V24)</f>
        <v>102.3</v>
      </c>
      <c r="X24" s="31"/>
      <c r="Y24" s="40">
        <v>0.1</v>
      </c>
      <c r="Z24" s="27">
        <f>+W24+(W24*Y24)</f>
        <v>112.53</v>
      </c>
    </row>
    <row r="25" spans="2:26" ht="12.75" customHeight="1">
      <c r="B25" t="s">
        <v>33</v>
      </c>
      <c r="E25" s="46">
        <v>510</v>
      </c>
      <c r="F25" s="27"/>
      <c r="G25" s="40" t="s">
        <v>16</v>
      </c>
      <c r="H25" s="46">
        <v>535</v>
      </c>
      <c r="I25" s="27"/>
      <c r="J25" s="7" t="s">
        <v>16</v>
      </c>
      <c r="K25" s="46">
        <v>548</v>
      </c>
      <c r="L25" s="4"/>
      <c r="M25" s="7">
        <v>0</v>
      </c>
      <c r="N25" s="27">
        <v>504</v>
      </c>
      <c r="O25" s="4"/>
      <c r="P25" s="348">
        <v>0.02</v>
      </c>
      <c r="Q25" s="10">
        <f>+N25+(N25*P25)</f>
        <v>514.08</v>
      </c>
      <c r="R25" s="326"/>
      <c r="S25" s="40">
        <v>0.02</v>
      </c>
      <c r="T25" s="391">
        <v>542</v>
      </c>
      <c r="U25" s="31"/>
      <c r="V25" s="40">
        <v>0.02</v>
      </c>
      <c r="W25" s="27">
        <f>+T25+(T25*V25)</f>
        <v>552.84</v>
      </c>
      <c r="X25" s="31"/>
      <c r="Y25" s="40">
        <v>0.02</v>
      </c>
      <c r="Z25" s="27">
        <f>+W25+(W25*Y25)</f>
        <v>563.8968</v>
      </c>
    </row>
    <row r="26" spans="2:26" ht="12.75" customHeight="1">
      <c r="B26" t="s">
        <v>65</v>
      </c>
      <c r="E26" s="157">
        <f>+E91</f>
        <v>510</v>
      </c>
      <c r="F26" s="10"/>
      <c r="G26" s="40" t="s">
        <v>16</v>
      </c>
      <c r="H26" s="157">
        <f>+H91</f>
        <v>451</v>
      </c>
      <c r="I26" s="24"/>
      <c r="J26" s="7" t="s">
        <v>16</v>
      </c>
      <c r="K26" s="177">
        <v>601</v>
      </c>
      <c r="L26" s="24"/>
      <c r="M26" s="7">
        <v>0</v>
      </c>
      <c r="N26" s="28">
        <v>526</v>
      </c>
      <c r="O26" s="24"/>
      <c r="P26" s="7">
        <v>0.02</v>
      </c>
      <c r="Q26" s="306">
        <v>555</v>
      </c>
      <c r="R26" s="24"/>
      <c r="S26" s="40">
        <v>0.02</v>
      </c>
      <c r="T26" s="408">
        <v>567</v>
      </c>
      <c r="U26" s="31"/>
      <c r="V26" s="40">
        <v>0.02</v>
      </c>
      <c r="W26" s="28">
        <f>+W91</f>
        <v>577.422</v>
      </c>
      <c r="X26" s="31"/>
      <c r="Y26" s="40">
        <v>0.02</v>
      </c>
      <c r="Z26" s="28">
        <f>+Z91</f>
        <v>588.97044</v>
      </c>
    </row>
    <row r="27" spans="1:26" ht="12.75" customHeight="1">
      <c r="A27" t="s">
        <v>35</v>
      </c>
      <c r="E27" s="46">
        <f>SUM(E23:E26)</f>
        <v>1162</v>
      </c>
      <c r="F27" s="27"/>
      <c r="G27" s="40"/>
      <c r="H27" s="161">
        <f>SUM(H23:H26)</f>
        <v>1141</v>
      </c>
      <c r="I27" s="10"/>
      <c r="K27" s="161">
        <f>SUM(K23:K26)</f>
        <v>1297</v>
      </c>
      <c r="L27" s="24"/>
      <c r="N27" s="188">
        <f>SUM(N23:N26)</f>
        <v>1185</v>
      </c>
      <c r="O27" s="24"/>
      <c r="Q27" s="311">
        <f>SUM(Q23:Q26)</f>
        <v>1238.08</v>
      </c>
      <c r="R27" s="24"/>
      <c r="S27" s="31"/>
      <c r="T27" s="409">
        <f>SUM(T23:T26)</f>
        <v>1267</v>
      </c>
      <c r="U27" s="31"/>
      <c r="V27" s="31"/>
      <c r="W27" s="188">
        <f>SUM(W23:W26)</f>
        <v>1298.862</v>
      </c>
      <c r="X27" s="31"/>
      <c r="Y27" s="31"/>
      <c r="Z27" s="188">
        <f>SUM(Z23:Z26)</f>
        <v>1333.02324</v>
      </c>
    </row>
    <row r="28" spans="1:26" ht="12.75" customHeight="1">
      <c r="A28" t="s">
        <v>36</v>
      </c>
      <c r="E28" s="160">
        <v>506</v>
      </c>
      <c r="F28" s="35"/>
      <c r="G28" s="31"/>
      <c r="H28" s="46">
        <v>400</v>
      </c>
      <c r="I28" s="27"/>
      <c r="K28" s="154">
        <v>225</v>
      </c>
      <c r="L28" s="10"/>
      <c r="N28" s="10">
        <v>300</v>
      </c>
      <c r="O28" s="10"/>
      <c r="Q28" s="305">
        <v>424</v>
      </c>
      <c r="R28" s="10"/>
      <c r="S28" s="31"/>
      <c r="T28" s="411">
        <v>650</v>
      </c>
      <c r="U28" s="31"/>
      <c r="V28" s="31"/>
      <c r="W28" s="10">
        <v>1000</v>
      </c>
      <c r="X28" s="31"/>
      <c r="Y28" s="31"/>
      <c r="Z28" s="10">
        <v>500</v>
      </c>
    </row>
    <row r="29" spans="5:26" ht="12.75" customHeight="1">
      <c r="E29" s="152"/>
      <c r="F29" s="31"/>
      <c r="G29" s="31"/>
      <c r="H29" s="46"/>
      <c r="I29" s="27"/>
      <c r="K29" s="46"/>
      <c r="L29" s="4"/>
      <c r="Q29" s="307"/>
      <c r="S29" s="31"/>
      <c r="U29" s="31"/>
      <c r="V29" s="31"/>
      <c r="W29" s="31"/>
      <c r="X29" s="31"/>
      <c r="Y29" s="31"/>
      <c r="Z29" s="31"/>
    </row>
    <row r="30" spans="1:28" ht="12.75" customHeight="1">
      <c r="A30" t="s">
        <v>66</v>
      </c>
      <c r="E30" s="46">
        <f>E101</f>
        <v>7841</v>
      </c>
      <c r="F30" s="27"/>
      <c r="G30" s="31"/>
      <c r="H30" s="46">
        <f>+H101</f>
        <v>7463</v>
      </c>
      <c r="I30" s="27"/>
      <c r="K30" s="46">
        <f>+K101</f>
        <v>6528</v>
      </c>
      <c r="L30" s="4"/>
      <c r="N30" s="27">
        <f>+N101</f>
        <v>6660</v>
      </c>
      <c r="O30" s="4"/>
      <c r="P30" t="s">
        <v>495</v>
      </c>
      <c r="Q30" s="305">
        <f>Q101</f>
        <v>6901</v>
      </c>
      <c r="R30" s="4"/>
      <c r="S30" s="31"/>
      <c r="T30" s="391">
        <f>+T101</f>
        <v>7515</v>
      </c>
      <c r="U30" s="31"/>
      <c r="V30" s="40">
        <v>0.05</v>
      </c>
      <c r="W30" s="27">
        <f>+W101</f>
        <v>7283.2</v>
      </c>
      <c r="X30" s="31"/>
      <c r="Y30" s="31"/>
      <c r="Z30" s="27">
        <f>+Z101</f>
        <v>7458.76</v>
      </c>
      <c r="AB30" t="s">
        <v>505</v>
      </c>
    </row>
    <row r="31" spans="1:28" ht="12.75" customHeight="1">
      <c r="A31" t="s">
        <v>67</v>
      </c>
      <c r="E31" s="46">
        <f>+E118</f>
        <v>2752</v>
      </c>
      <c r="F31" s="27"/>
      <c r="G31" s="31"/>
      <c r="H31" s="46">
        <f>+H118</f>
        <v>1024</v>
      </c>
      <c r="I31" s="27"/>
      <c r="K31" s="46">
        <f>+K118</f>
        <v>1351</v>
      </c>
      <c r="L31" s="4"/>
      <c r="N31" s="27">
        <f>+N118</f>
        <v>1812</v>
      </c>
      <c r="O31" s="4"/>
      <c r="Q31" s="305">
        <f>+Q118</f>
        <v>2170</v>
      </c>
      <c r="R31" s="4"/>
      <c r="S31" s="31"/>
      <c r="T31" s="391">
        <f>+T118</f>
        <v>2577</v>
      </c>
      <c r="U31" s="31"/>
      <c r="V31" s="31"/>
      <c r="W31" s="27">
        <f>+W118</f>
        <v>2344</v>
      </c>
      <c r="X31" s="31"/>
      <c r="Y31" s="31"/>
      <c r="Z31" s="27">
        <f>+Z118</f>
        <v>2048</v>
      </c>
      <c r="AB31" t="s">
        <v>16</v>
      </c>
    </row>
    <row r="32" spans="5:28" ht="12.75" customHeight="1">
      <c r="E32" s="152"/>
      <c r="F32" s="31"/>
      <c r="H32" s="46"/>
      <c r="I32" s="27"/>
      <c r="K32" s="46"/>
      <c r="L32" s="4"/>
      <c r="Q32" s="307"/>
      <c r="S32" s="31"/>
      <c r="U32" s="31"/>
      <c r="V32" s="31"/>
      <c r="W32" s="31"/>
      <c r="X32" s="31"/>
      <c r="Y32" s="31"/>
      <c r="Z32" s="31"/>
      <c r="AB32" t="s">
        <v>16</v>
      </c>
    </row>
    <row r="33" spans="1:26" ht="12.75" customHeight="1">
      <c r="A33" t="s">
        <v>92</v>
      </c>
      <c r="E33" s="161">
        <f>+E18+E20+E21+E27++E28+E30+E31</f>
        <v>60644</v>
      </c>
      <c r="F33" s="10"/>
      <c r="H33" s="161">
        <f>+H18+H20+H21+H27+H28+H30+H31</f>
        <v>61849</v>
      </c>
      <c r="I33" s="10"/>
      <c r="K33" s="161">
        <f>+K18+K20+K21+K27++K28+K30+K31</f>
        <v>65325.172999999995</v>
      </c>
      <c r="L33" s="24"/>
      <c r="N33" s="188">
        <f>+N18+N20+N21+N27++N28+N30+N31</f>
        <v>68142.298</v>
      </c>
      <c r="O33" s="24"/>
      <c r="Q33" s="311">
        <f>+Q18+Q20+Q21+Q27++Q28+Q30+Q31</f>
        <v>69901.36300000001</v>
      </c>
      <c r="R33" s="24"/>
      <c r="S33" s="31"/>
      <c r="T33" s="409">
        <f>+T18+T20+T21+T27++T28+T30+T31</f>
        <v>73715.74300000002</v>
      </c>
      <c r="U33" s="31"/>
      <c r="V33" s="31"/>
      <c r="W33" s="188">
        <f>+W18+W20+W21+W27++W28+W30+W31</f>
        <v>76030.907</v>
      </c>
      <c r="X33" s="31"/>
      <c r="Y33" s="31"/>
      <c r="Z33" s="188">
        <f>+Z18+Z20+Z21+Z27++Z28+Z30+Z31</f>
        <v>77155.405965</v>
      </c>
    </row>
    <row r="34" spans="2:26" ht="12.75" customHeight="1">
      <c r="B34" t="s">
        <v>93</v>
      </c>
      <c r="E34" s="154"/>
      <c r="F34" s="10"/>
      <c r="H34" s="154"/>
      <c r="I34" s="10"/>
      <c r="K34" s="154"/>
      <c r="L34" s="24"/>
      <c r="N34" s="10"/>
      <c r="O34" s="24"/>
      <c r="Q34" s="305"/>
      <c r="R34" s="24"/>
      <c r="S34" s="31"/>
      <c r="T34" s="411"/>
      <c r="U34" s="31"/>
      <c r="V34" s="31"/>
      <c r="W34" s="10"/>
      <c r="X34" s="31"/>
      <c r="Y34" s="31"/>
      <c r="Z34" s="10"/>
    </row>
    <row r="35" spans="5:26" ht="12.75" customHeight="1">
      <c r="E35" s="152"/>
      <c r="F35" s="31"/>
      <c r="H35" s="46">
        <f>H218+H42+H43</f>
        <v>25243</v>
      </c>
      <c r="I35" s="27"/>
      <c r="K35" s="152"/>
      <c r="Q35" s="307"/>
      <c r="S35" s="31"/>
      <c r="U35" s="31"/>
      <c r="V35" s="31"/>
      <c r="W35" s="31"/>
      <c r="X35" s="31"/>
      <c r="Y35" s="31"/>
      <c r="Z35" s="31"/>
    </row>
    <row r="36" spans="1:26" ht="12.75" customHeight="1">
      <c r="A36" s="3" t="s">
        <v>8</v>
      </c>
      <c r="E36" s="152"/>
      <c r="F36" s="31"/>
      <c r="H36" s="152"/>
      <c r="K36" s="152"/>
      <c r="Q36" s="307"/>
      <c r="S36" s="31"/>
      <c r="U36" s="31"/>
      <c r="V36" s="31"/>
      <c r="W36" s="31"/>
      <c r="X36" s="31"/>
      <c r="Y36" s="31"/>
      <c r="Z36" s="31"/>
    </row>
    <row r="37" spans="1:26" ht="6" customHeight="1">
      <c r="A37" s="3"/>
      <c r="E37" s="152"/>
      <c r="F37" s="31"/>
      <c r="H37" s="152"/>
      <c r="K37" s="152"/>
      <c r="Q37" s="307"/>
      <c r="S37" s="31"/>
      <c r="U37" s="31"/>
      <c r="V37" s="31"/>
      <c r="W37" s="31"/>
      <c r="X37" s="31"/>
      <c r="Y37" s="31"/>
      <c r="Z37" s="31"/>
    </row>
    <row r="38" spans="1:28" ht="12.75">
      <c r="A38" t="s">
        <v>291</v>
      </c>
      <c r="E38" s="46">
        <f>SUM(E217:E218)</f>
        <v>32417</v>
      </c>
      <c r="F38" s="27"/>
      <c r="G38" s="8" t="s">
        <v>16</v>
      </c>
      <c r="H38" s="46">
        <f>SUM(H217:H218)</f>
        <v>33044.807</v>
      </c>
      <c r="I38" s="27"/>
      <c r="J38" s="8" t="s">
        <v>16</v>
      </c>
      <c r="K38" s="46">
        <f>SUM(K217:K218)</f>
        <v>33556.133</v>
      </c>
      <c r="L38" s="27"/>
      <c r="M38" s="41" t="s">
        <v>16</v>
      </c>
      <c r="N38" s="27">
        <f>SUM(N217:N218)</f>
        <v>34390.262</v>
      </c>
      <c r="O38" s="27"/>
      <c r="P38" s="8">
        <f aca="true" t="shared" si="0" ref="P38:P44">+(Q38-N38)/N38</f>
        <v>0.047168323405038355</v>
      </c>
      <c r="Q38" s="305">
        <f>SUM(Q217:Q218)</f>
        <v>36012.393000000004</v>
      </c>
      <c r="R38" s="27"/>
      <c r="S38" s="41">
        <f>+(T38-Q38)/Q38</f>
        <v>0.02149032417812384</v>
      </c>
      <c r="T38" s="391">
        <f>SUM(T217:T218)</f>
        <v>36786.311</v>
      </c>
      <c r="U38" s="31"/>
      <c r="V38" s="41">
        <f>+(W38-T38)/T38</f>
        <v>0.042000000000000016</v>
      </c>
      <c r="W38" s="27">
        <f>SUM(W217:W218)</f>
        <v>38331.336062</v>
      </c>
      <c r="X38" s="31"/>
      <c r="Y38" s="41">
        <f>+(Z38-W38)/W38</f>
        <v>0.04199999999999996</v>
      </c>
      <c r="Z38" s="27">
        <f>SUM(Z217:Z218)</f>
        <v>39941.252176604</v>
      </c>
      <c r="AB38" t="s">
        <v>627</v>
      </c>
    </row>
    <row r="39" spans="1:28" ht="14.25">
      <c r="A39" t="s">
        <v>78</v>
      </c>
      <c r="E39" s="46">
        <f>5291+600</f>
        <v>5891</v>
      </c>
      <c r="F39" s="27"/>
      <c r="G39" s="8">
        <f aca="true" t="shared" si="1" ref="G39:G48">H39/E39-1</f>
        <v>0.10548141232388386</v>
      </c>
      <c r="H39" s="46">
        <f>'FY03 Detail'!$K$69/1000</f>
        <v>6512.391</v>
      </c>
      <c r="I39" s="27"/>
      <c r="J39" s="8" t="s">
        <v>16</v>
      </c>
      <c r="K39" s="46">
        <f>SUM('FY04 Detail'!$L$68/1000)+2435+1106</f>
        <v>6739.811</v>
      </c>
      <c r="L39" s="4"/>
      <c r="M39" s="8">
        <v>0.125</v>
      </c>
      <c r="N39" s="27">
        <f>SUM(N211+N212)</f>
        <v>7730</v>
      </c>
      <c r="O39" s="4"/>
      <c r="P39" s="8">
        <f t="shared" si="0"/>
        <v>0.06545924967658473</v>
      </c>
      <c r="Q39" s="305">
        <f>SUM(Q211+Q212)</f>
        <v>8236</v>
      </c>
      <c r="R39" s="4"/>
      <c r="S39" s="388" t="s">
        <v>568</v>
      </c>
      <c r="T39" s="412">
        <f>+T211+T212</f>
        <v>9259.067</v>
      </c>
      <c r="U39" s="31"/>
      <c r="V39" s="41">
        <v>0.1</v>
      </c>
      <c r="W39" s="27">
        <f>+T39*(1+V39)</f>
        <v>10184.9737</v>
      </c>
      <c r="X39" s="31"/>
      <c r="Y39" s="41">
        <v>0.1</v>
      </c>
      <c r="Z39" s="27">
        <f>+W39*(1+Y39)</f>
        <v>11203.471070000001</v>
      </c>
      <c r="AB39" t="s">
        <v>616</v>
      </c>
    </row>
    <row r="40" spans="1:28" ht="12.75">
      <c r="A40" t="s">
        <v>10</v>
      </c>
      <c r="E40" s="46">
        <v>2327</v>
      </c>
      <c r="F40" s="27"/>
      <c r="G40" s="8">
        <f t="shared" si="1"/>
        <v>0.08828749462827679</v>
      </c>
      <c r="H40" s="46">
        <f>'FY03 Detail'!$N$65/1000</f>
        <v>2532.445</v>
      </c>
      <c r="I40" s="27"/>
      <c r="J40" s="8" t="s">
        <v>16</v>
      </c>
      <c r="K40" s="46">
        <f>'FY04 Detail'!$O$68/1000</f>
        <v>2865.537</v>
      </c>
      <c r="L40" s="4"/>
      <c r="M40" s="8">
        <f aca="true" t="shared" si="2" ref="M40:M46">+(N40-K40)/K40</f>
        <v>0.0553589082953737</v>
      </c>
      <c r="N40" s="27">
        <f>'FY05 Detail'!$O$67/1000</f>
        <v>3024.17</v>
      </c>
      <c r="O40" s="4"/>
      <c r="P40" s="8">
        <f t="shared" si="0"/>
        <v>0.0938538508086516</v>
      </c>
      <c r="Q40" s="305">
        <f>60+3248</f>
        <v>3308</v>
      </c>
      <c r="R40" s="4"/>
      <c r="S40" s="388">
        <f>+(T40-Q40)/Q40</f>
        <v>0.06318016928657799</v>
      </c>
      <c r="T40" s="412">
        <v>3517</v>
      </c>
      <c r="U40" s="31"/>
      <c r="V40" s="41">
        <v>0.15</v>
      </c>
      <c r="W40" s="27">
        <f>+T40*(1+V40)</f>
        <v>4044.5499999999997</v>
      </c>
      <c r="X40" s="31"/>
      <c r="Y40" s="41">
        <v>0.05</v>
      </c>
      <c r="Z40" s="27">
        <f>+W40*(1+Y40)</f>
        <v>4246.7775</v>
      </c>
      <c r="AB40" t="s">
        <v>628</v>
      </c>
    </row>
    <row r="41" spans="1:28" ht="12.75">
      <c r="A41" t="s">
        <v>526</v>
      </c>
      <c r="E41" s="46"/>
      <c r="F41" s="27"/>
      <c r="G41" s="8"/>
      <c r="H41" s="46"/>
      <c r="I41" s="27"/>
      <c r="J41" s="8"/>
      <c r="K41" s="46"/>
      <c r="L41" s="4"/>
      <c r="M41" s="8"/>
      <c r="N41" s="27"/>
      <c r="O41" s="4"/>
      <c r="P41" s="8"/>
      <c r="Q41" s="305">
        <v>0</v>
      </c>
      <c r="R41" s="4"/>
      <c r="S41" s="41"/>
      <c r="T41" s="391">
        <v>0</v>
      </c>
      <c r="U41" s="31"/>
      <c r="V41" s="41"/>
      <c r="W41" s="27"/>
      <c r="X41" s="31"/>
      <c r="Y41" s="41"/>
      <c r="Z41" s="27"/>
      <c r="AB41" t="s">
        <v>527</v>
      </c>
    </row>
    <row r="42" spans="1:28" ht="14.25">
      <c r="A42" t="s">
        <v>79</v>
      </c>
      <c r="E42" s="46">
        <f>+E133</f>
        <v>3429</v>
      </c>
      <c r="F42" s="27"/>
      <c r="G42" s="8">
        <f t="shared" si="1"/>
        <v>-0.08398950131233596</v>
      </c>
      <c r="H42" s="46">
        <f>+H133</f>
        <v>3141</v>
      </c>
      <c r="I42" s="4"/>
      <c r="J42" s="8" t="s">
        <v>16</v>
      </c>
      <c r="K42" s="46">
        <f>+K133</f>
        <v>3432</v>
      </c>
      <c r="L42" s="4"/>
      <c r="M42" s="8">
        <f t="shared" si="2"/>
        <v>0.019522144522144524</v>
      </c>
      <c r="N42" s="27">
        <f>+N133</f>
        <v>3499</v>
      </c>
      <c r="O42" s="4"/>
      <c r="P42" s="8">
        <f t="shared" si="0"/>
        <v>0.15204344098313805</v>
      </c>
      <c r="Q42" s="305">
        <f>+Q133</f>
        <v>4031</v>
      </c>
      <c r="R42" s="4"/>
      <c r="S42" s="388">
        <f>+(T42-Q42)/Q42</f>
        <v>0.047630860828578515</v>
      </c>
      <c r="T42" s="391">
        <f>+T133</f>
        <v>4223</v>
      </c>
      <c r="U42" s="31"/>
      <c r="V42" s="41">
        <v>0.05</v>
      </c>
      <c r="W42" s="27">
        <f>+W133</f>
        <v>4434.15</v>
      </c>
      <c r="X42" s="31"/>
      <c r="Y42" s="41">
        <v>0.04</v>
      </c>
      <c r="Z42" s="27">
        <f>+Z133</f>
        <v>4611.516</v>
      </c>
      <c r="AB42" t="s">
        <v>558</v>
      </c>
    </row>
    <row r="43" spans="1:28" ht="12.75">
      <c r="A43" t="s">
        <v>124</v>
      </c>
      <c r="E43" s="46">
        <v>1867</v>
      </c>
      <c r="F43" s="27"/>
      <c r="G43" s="8">
        <f t="shared" si="1"/>
        <v>0.1794322442420997</v>
      </c>
      <c r="H43" s="46">
        <v>2202</v>
      </c>
      <c r="I43" s="27"/>
      <c r="J43" s="8">
        <f>+(K43-H43)/H43</f>
        <v>0.11625794732061762</v>
      </c>
      <c r="K43" s="46">
        <v>2458</v>
      </c>
      <c r="L43" s="4"/>
      <c r="M43" s="8">
        <f t="shared" si="2"/>
        <v>0.0024410089503661514</v>
      </c>
      <c r="N43" s="27">
        <v>2464</v>
      </c>
      <c r="O43" s="4"/>
      <c r="P43" s="8">
        <f t="shared" si="0"/>
        <v>0.037337662337662336</v>
      </c>
      <c r="Q43" s="305">
        <v>2556</v>
      </c>
      <c r="R43" s="4"/>
      <c r="S43" s="41">
        <v>0.0515</v>
      </c>
      <c r="T43" s="391">
        <f>SUM(Q43*S43)+Q43</f>
        <v>2687.634</v>
      </c>
      <c r="U43" s="31"/>
      <c r="V43" s="41">
        <v>0.06</v>
      </c>
      <c r="W43" s="353">
        <f>SUM(T43*V43)+T43</f>
        <v>2848.89204</v>
      </c>
      <c r="X43" s="31"/>
      <c r="Y43" s="41">
        <v>0.06</v>
      </c>
      <c r="Z43" s="353">
        <f>SUM(W43*Y43)+W43</f>
        <v>3019.8255624000003</v>
      </c>
      <c r="AB43" t="s">
        <v>617</v>
      </c>
    </row>
    <row r="44" spans="1:26" ht="12.75">
      <c r="A44" t="s">
        <v>11</v>
      </c>
      <c r="E44" s="46">
        <v>645</v>
      </c>
      <c r="F44" s="27"/>
      <c r="G44" s="8">
        <f t="shared" si="1"/>
        <v>-0.21705426356589153</v>
      </c>
      <c r="H44" s="46">
        <f>504+1</f>
        <v>505</v>
      </c>
      <c r="I44" s="27"/>
      <c r="J44" s="8" t="s">
        <v>16</v>
      </c>
      <c r="K44" s="46">
        <f>483+114</f>
        <v>597</v>
      </c>
      <c r="L44" s="4"/>
      <c r="M44" s="8">
        <f t="shared" si="2"/>
        <v>-0.05695142378559464</v>
      </c>
      <c r="N44" s="27">
        <v>563</v>
      </c>
      <c r="O44" s="4"/>
      <c r="P44" s="8">
        <f t="shared" si="0"/>
        <v>0.04262877442273535</v>
      </c>
      <c r="Q44" s="305">
        <v>587</v>
      </c>
      <c r="R44" s="4"/>
      <c r="S44" s="8">
        <f>+(T44-Q44)/Q44</f>
        <v>0.03236797274275979</v>
      </c>
      <c r="T44" s="391">
        <v>606</v>
      </c>
      <c r="V44" s="8">
        <v>0.04</v>
      </c>
      <c r="W44" s="4">
        <v>518</v>
      </c>
      <c r="Y44" s="8">
        <v>0.04</v>
      </c>
      <c r="Z44" s="4">
        <f>+W44*(1+Y44)</f>
        <v>538.72</v>
      </c>
    </row>
    <row r="45" spans="1:26" ht="12.75" hidden="1">
      <c r="A45" t="s">
        <v>99</v>
      </c>
      <c r="E45" s="46">
        <v>317</v>
      </c>
      <c r="F45" s="27"/>
      <c r="G45" s="9" t="s">
        <v>16</v>
      </c>
      <c r="H45" s="46">
        <v>0</v>
      </c>
      <c r="I45" s="27"/>
      <c r="J45" s="9" t="s">
        <v>16</v>
      </c>
      <c r="K45" s="46">
        <v>0</v>
      </c>
      <c r="L45" s="4"/>
      <c r="M45" s="8" t="s">
        <v>16</v>
      </c>
      <c r="N45" s="27">
        <v>0</v>
      </c>
      <c r="O45" s="4"/>
      <c r="P45" s="9" t="s">
        <v>21</v>
      </c>
      <c r="Q45" s="305">
        <v>0</v>
      </c>
      <c r="R45" s="4"/>
      <c r="S45" s="9" t="s">
        <v>21</v>
      </c>
      <c r="T45" s="391">
        <v>0</v>
      </c>
      <c r="U45" s="9" t="s">
        <v>16</v>
      </c>
      <c r="V45" s="9" t="s">
        <v>21</v>
      </c>
      <c r="W45" s="4">
        <v>0</v>
      </c>
      <c r="X45" s="9" t="s">
        <v>16</v>
      </c>
      <c r="Y45" s="9" t="s">
        <v>21</v>
      </c>
      <c r="Z45" s="4">
        <v>0</v>
      </c>
    </row>
    <row r="46" spans="1:28" ht="14.25">
      <c r="A46" t="s">
        <v>80</v>
      </c>
      <c r="C46" s="42" t="s">
        <v>16</v>
      </c>
      <c r="E46" s="46">
        <f>+E142</f>
        <v>1423</v>
      </c>
      <c r="F46" s="27"/>
      <c r="G46" s="8">
        <f t="shared" si="1"/>
        <v>0.024595924104005684</v>
      </c>
      <c r="H46" s="46">
        <f>+H142</f>
        <v>1458</v>
      </c>
      <c r="I46" s="27"/>
      <c r="J46" s="8" t="s">
        <v>16</v>
      </c>
      <c r="K46" s="46">
        <v>1456</v>
      </c>
      <c r="L46" s="4"/>
      <c r="M46" s="8">
        <f t="shared" si="2"/>
        <v>0.010302197802197802</v>
      </c>
      <c r="N46" s="27">
        <v>1471</v>
      </c>
      <c r="O46" s="4"/>
      <c r="P46" s="8">
        <f>+(Q46-N46)/N46</f>
        <v>-0.029231815091774305</v>
      </c>
      <c r="Q46" s="305">
        <v>1428</v>
      </c>
      <c r="R46" s="4"/>
      <c r="S46" s="8">
        <v>0.043</v>
      </c>
      <c r="T46" s="430">
        <v>1476</v>
      </c>
      <c r="V46" s="8">
        <v>0.025</v>
      </c>
      <c r="W46" s="4">
        <f>+W142</f>
        <v>1512.9</v>
      </c>
      <c r="Y46" s="8">
        <v>0.025</v>
      </c>
      <c r="Z46" s="4">
        <f>+Z142</f>
        <v>1528.029</v>
      </c>
      <c r="AB46" t="s">
        <v>48</v>
      </c>
    </row>
    <row r="47" spans="1:26" ht="14.25">
      <c r="A47" s="19" t="s">
        <v>81</v>
      </c>
      <c r="E47" s="46">
        <f>+E149</f>
        <v>3682</v>
      </c>
      <c r="F47" s="27"/>
      <c r="G47" s="8">
        <f t="shared" si="1"/>
        <v>0.036063552417164635</v>
      </c>
      <c r="H47" s="46">
        <f>$H$149</f>
        <v>3814.786</v>
      </c>
      <c r="I47" s="27"/>
      <c r="J47" s="8" t="s">
        <v>16</v>
      </c>
      <c r="K47" s="46">
        <f>+K149</f>
        <v>3794.482</v>
      </c>
      <c r="L47" s="4"/>
      <c r="M47" s="8" t="s">
        <v>16</v>
      </c>
      <c r="N47" s="27">
        <f>+N149+1</f>
        <v>3934.6</v>
      </c>
      <c r="O47" s="4"/>
      <c r="P47" s="8">
        <f>+(Q47-N47)/N47</f>
        <v>0.06435724088852761</v>
      </c>
      <c r="Q47" s="305">
        <f>+Q149</f>
        <v>4187.820000000001</v>
      </c>
      <c r="R47" s="4"/>
      <c r="S47" s="8">
        <f>+(T47-Q47)/Q47</f>
        <v>0.0777262728579547</v>
      </c>
      <c r="T47" s="391">
        <f>+T149</f>
        <v>4513.3236400000005</v>
      </c>
      <c r="V47" s="8">
        <v>0.05</v>
      </c>
      <c r="W47" s="4">
        <f>+W149</f>
        <v>4738.9898220000005</v>
      </c>
      <c r="Y47" s="8">
        <v>0.04</v>
      </c>
      <c r="Z47" s="4">
        <f>+Z149</f>
        <v>4928.549414880001</v>
      </c>
    </row>
    <row r="48" spans="1:28" ht="14.25">
      <c r="A48" t="s">
        <v>89</v>
      </c>
      <c r="E48" s="46">
        <f>+E154</f>
        <v>2564</v>
      </c>
      <c r="F48" s="27"/>
      <c r="G48" s="8">
        <f t="shared" si="1"/>
        <v>0.017550702028081178</v>
      </c>
      <c r="H48" s="46">
        <v>2609</v>
      </c>
      <c r="I48" s="27"/>
      <c r="J48" s="8" t="s">
        <v>16</v>
      </c>
      <c r="K48" s="46">
        <v>2626</v>
      </c>
      <c r="L48" s="27"/>
      <c r="M48" s="8" t="s">
        <v>16</v>
      </c>
      <c r="N48" s="27">
        <v>2717</v>
      </c>
      <c r="O48" s="27"/>
      <c r="P48" s="8" t="s">
        <v>405</v>
      </c>
      <c r="Q48" s="305">
        <v>2229</v>
      </c>
      <c r="R48" s="27"/>
      <c r="S48" s="8" t="s">
        <v>406</v>
      </c>
      <c r="T48" s="391">
        <f>T154</f>
        <v>2271</v>
      </c>
      <c r="V48" s="8">
        <f>+(W48-T48)/T48</f>
        <v>0.03512549537648612</v>
      </c>
      <c r="W48" s="27">
        <f>W154</f>
        <v>2350.77</v>
      </c>
      <c r="Y48" s="8">
        <f>+(Z48-W48)/W48</f>
        <v>0.029173419773095594</v>
      </c>
      <c r="Z48" s="27">
        <f>Z154</f>
        <v>2419.35</v>
      </c>
      <c r="AB48" t="s">
        <v>16</v>
      </c>
    </row>
    <row r="49" spans="1:26" ht="12.75">
      <c r="A49" t="s">
        <v>12</v>
      </c>
      <c r="E49" s="46">
        <v>400</v>
      </c>
      <c r="F49" s="27"/>
      <c r="G49" s="8">
        <v>0</v>
      </c>
      <c r="H49" s="46">
        <v>400</v>
      </c>
      <c r="I49" s="27"/>
      <c r="J49" s="21">
        <v>0</v>
      </c>
      <c r="K49" s="46">
        <f>514-114</f>
        <v>400</v>
      </c>
      <c r="L49" s="4"/>
      <c r="M49" s="8">
        <v>0</v>
      </c>
      <c r="N49" s="27">
        <f>+K49*(1+M49)</f>
        <v>400</v>
      </c>
      <c r="O49" s="4"/>
      <c r="P49" s="8">
        <v>0</v>
      </c>
      <c r="Q49" s="305">
        <f>+N49*(1+P49)</f>
        <v>400</v>
      </c>
      <c r="R49" s="4"/>
      <c r="S49" s="8">
        <v>0</v>
      </c>
      <c r="T49" s="391">
        <v>400</v>
      </c>
      <c r="V49" s="8">
        <v>0</v>
      </c>
      <c r="W49" s="4">
        <v>400</v>
      </c>
      <c r="Y49" s="8">
        <v>0</v>
      </c>
      <c r="Z49" s="4">
        <f>+W49*(1+Y49)</f>
        <v>400</v>
      </c>
    </row>
    <row r="50" spans="1:26" ht="12.75" customHeight="1">
      <c r="A50" t="s">
        <v>13</v>
      </c>
      <c r="E50" s="46">
        <v>693</v>
      </c>
      <c r="F50" s="27"/>
      <c r="G50" s="9" t="s">
        <v>21</v>
      </c>
      <c r="H50" s="46">
        <v>878</v>
      </c>
      <c r="I50" s="27"/>
      <c r="J50" s="21">
        <v>0</v>
      </c>
      <c r="K50" s="46">
        <v>789</v>
      </c>
      <c r="L50" s="4"/>
      <c r="M50" s="8">
        <v>0</v>
      </c>
      <c r="N50" s="27">
        <v>780</v>
      </c>
      <c r="O50" s="4"/>
      <c r="P50" s="8">
        <v>0</v>
      </c>
      <c r="Q50" s="305">
        <v>859</v>
      </c>
      <c r="R50" s="4"/>
      <c r="S50" s="8">
        <v>0</v>
      </c>
      <c r="T50" s="430">
        <v>974</v>
      </c>
      <c r="V50" s="8">
        <v>0</v>
      </c>
      <c r="W50" s="4">
        <v>850</v>
      </c>
      <c r="Y50" s="8">
        <v>0</v>
      </c>
      <c r="Z50" s="4">
        <f>+W50*(1+Y50)</f>
        <v>850</v>
      </c>
    </row>
    <row r="51" spans="5:26" ht="12.75" customHeight="1">
      <c r="E51" s="46"/>
      <c r="F51" s="27"/>
      <c r="G51" s="9"/>
      <c r="H51" s="46"/>
      <c r="I51" s="27"/>
      <c r="J51" s="21"/>
      <c r="K51" s="46"/>
      <c r="L51" s="4"/>
      <c r="M51" s="8"/>
      <c r="N51" s="27"/>
      <c r="O51" s="4"/>
      <c r="P51" s="8"/>
      <c r="Q51" s="305"/>
      <c r="R51" s="4"/>
      <c r="S51" s="8"/>
      <c r="T51" s="391"/>
      <c r="V51" s="8"/>
      <c r="W51" s="4"/>
      <c r="Y51" s="8"/>
      <c r="Z51" s="4"/>
    </row>
    <row r="52" spans="2:28" ht="12.75">
      <c r="B52" t="s">
        <v>606</v>
      </c>
      <c r="E52" s="46">
        <v>1000</v>
      </c>
      <c r="F52" s="27"/>
      <c r="G52" s="9" t="s">
        <v>21</v>
      </c>
      <c r="H52" s="46">
        <v>864</v>
      </c>
      <c r="I52" s="27"/>
      <c r="J52" s="8">
        <v>0</v>
      </c>
      <c r="K52" s="46">
        <f>1330-134</f>
        <v>1196</v>
      </c>
      <c r="L52" s="4"/>
      <c r="M52" s="8">
        <v>0</v>
      </c>
      <c r="N52" s="27">
        <v>1462</v>
      </c>
      <c r="O52" s="4"/>
      <c r="P52" s="8">
        <v>0</v>
      </c>
      <c r="Q52" s="305">
        <v>300</v>
      </c>
      <c r="R52" s="4"/>
      <c r="S52" s="8" t="s">
        <v>16</v>
      </c>
      <c r="T52" s="391">
        <v>1000</v>
      </c>
      <c r="V52" s="8">
        <v>0</v>
      </c>
      <c r="W52" s="4">
        <v>1000</v>
      </c>
      <c r="Y52" s="8">
        <v>0</v>
      </c>
      <c r="Z52" s="4">
        <v>1000</v>
      </c>
      <c r="AB52" t="s">
        <v>16</v>
      </c>
    </row>
    <row r="53" spans="2:28" ht="12.75">
      <c r="B53" t="s">
        <v>19</v>
      </c>
      <c r="E53" s="157">
        <f>1157+350</f>
        <v>1507</v>
      </c>
      <c r="F53" s="10"/>
      <c r="G53" s="9" t="s">
        <v>21</v>
      </c>
      <c r="H53" s="157">
        <f>1255+243</f>
        <v>1498</v>
      </c>
      <c r="I53" s="10"/>
      <c r="J53" s="8" t="s">
        <v>16</v>
      </c>
      <c r="K53" s="157">
        <f>1098+200+120</f>
        <v>1418</v>
      </c>
      <c r="L53" s="24"/>
      <c r="M53" s="8">
        <v>0</v>
      </c>
      <c r="N53" s="28">
        <f>963+279+97+13+21</f>
        <v>1373</v>
      </c>
      <c r="O53" s="24"/>
      <c r="P53" s="8">
        <v>0</v>
      </c>
      <c r="Q53" s="306">
        <v>1467</v>
      </c>
      <c r="R53" s="24"/>
      <c r="S53" s="8" t="s">
        <v>16</v>
      </c>
      <c r="T53" s="408">
        <v>1186</v>
      </c>
      <c r="V53" s="8">
        <v>0.04</v>
      </c>
      <c r="W53" s="5">
        <f>+T53*(1+V53)</f>
        <v>1233.44</v>
      </c>
      <c r="Y53" s="8">
        <v>0.04</v>
      </c>
      <c r="Z53" s="5">
        <f>+W53*(1+Y53)</f>
        <v>1282.7776000000001</v>
      </c>
      <c r="AB53" t="s">
        <v>523</v>
      </c>
    </row>
    <row r="54" spans="1:26" ht="12.75">
      <c r="A54" t="s">
        <v>20</v>
      </c>
      <c r="E54" s="46">
        <f>+E52+E53</f>
        <v>2507</v>
      </c>
      <c r="F54" s="27"/>
      <c r="G54" s="8"/>
      <c r="H54" s="46">
        <f>+H52+H53</f>
        <v>2362</v>
      </c>
      <c r="I54" s="27"/>
      <c r="J54" s="8"/>
      <c r="K54" s="46">
        <f>+K52+K53</f>
        <v>2614</v>
      </c>
      <c r="L54" s="27"/>
      <c r="M54" s="8"/>
      <c r="N54" s="27">
        <f>+N52+N53</f>
        <v>2835</v>
      </c>
      <c r="O54" s="27"/>
      <c r="P54" s="8"/>
      <c r="Q54" s="305">
        <f>SUM(Q52:Q53)</f>
        <v>1767</v>
      </c>
      <c r="R54" s="4"/>
      <c r="S54" s="8"/>
      <c r="T54" s="391">
        <f>SUM(T52:T53)</f>
        <v>2186</v>
      </c>
      <c r="V54" s="8"/>
      <c r="W54" s="4">
        <f>SUM(W52:W53)</f>
        <v>2233.44</v>
      </c>
      <c r="Y54" s="8"/>
      <c r="Z54" s="4">
        <f>SUM(Z52:Z53)</f>
        <v>2282.7776000000003</v>
      </c>
    </row>
    <row r="55" spans="1:26" ht="6" customHeight="1">
      <c r="A55" t="s">
        <v>16</v>
      </c>
      <c r="E55" s="46"/>
      <c r="F55" s="27"/>
      <c r="G55" s="8"/>
      <c r="H55" s="46" t="s">
        <v>16</v>
      </c>
      <c r="I55" s="27"/>
      <c r="J55" s="8"/>
      <c r="K55" s="46" t="s">
        <v>16</v>
      </c>
      <c r="L55" s="4"/>
      <c r="M55" s="8"/>
      <c r="N55" s="27" t="s">
        <v>16</v>
      </c>
      <c r="O55" s="4"/>
      <c r="P55" s="8"/>
      <c r="Q55" s="305" t="s">
        <v>16</v>
      </c>
      <c r="R55" s="4"/>
      <c r="S55" s="8"/>
      <c r="T55" s="391" t="s">
        <v>16</v>
      </c>
      <c r="V55" s="8"/>
      <c r="W55" s="4" t="s">
        <v>16</v>
      </c>
      <c r="Y55" s="8"/>
      <c r="Z55" s="4" t="s">
        <v>16</v>
      </c>
    </row>
    <row r="56" spans="1:28" ht="12.75">
      <c r="A56" t="s">
        <v>292</v>
      </c>
      <c r="E56" s="46">
        <v>2522</v>
      </c>
      <c r="F56" s="27"/>
      <c r="G56" s="9" t="s">
        <v>22</v>
      </c>
      <c r="H56" s="46">
        <v>2551</v>
      </c>
      <c r="I56" s="27"/>
      <c r="J56" s="9" t="s">
        <v>22</v>
      </c>
      <c r="K56" s="46">
        <f>'Debt Schedule'!$H$48/1000-'Debt Schedule'!$H$156/1000+30</f>
        <v>4018.9179999999997</v>
      </c>
      <c r="L56" s="4"/>
      <c r="M56" s="9" t="s">
        <v>22</v>
      </c>
      <c r="N56" s="27">
        <f>'Debt Schedule'!$I$48/1000-'Debt Schedule'!$I$156/1000+67-40</f>
        <v>4352.2105</v>
      </c>
      <c r="O56" s="4"/>
      <c r="P56" s="9" t="s">
        <v>16</v>
      </c>
      <c r="Q56" s="305">
        <f>'Debt Schedule'!$J$48/1000-'Debt Schedule'!$J$156/1000+151+81</f>
        <v>4300.8305</v>
      </c>
      <c r="R56" s="4"/>
      <c r="S56" s="9" t="s">
        <v>600</v>
      </c>
      <c r="T56" s="10">
        <f>('Debt Schedule'!$K$48/1000-'Debt Schedule'!$K$156/1000)+90+27.5</f>
        <v>4815.6055</v>
      </c>
      <c r="V56" s="9" t="s">
        <v>16</v>
      </c>
      <c r="W56" s="4">
        <f>'Debt Schedule'!$L$48/1000-'Debt Schedule'!$L$156/1000+30</f>
        <v>5019.2055</v>
      </c>
      <c r="Y56" s="9" t="s">
        <v>390</v>
      </c>
      <c r="Z56" s="4">
        <f>'Debt Schedule'!$M$48/1000-'Debt Schedule'!$M$156/1000+65</f>
        <v>4950.585</v>
      </c>
      <c r="AB56" t="s">
        <v>528</v>
      </c>
    </row>
    <row r="57" spans="5:29" ht="12.75">
      <c r="E57" s="46"/>
      <c r="F57" s="27"/>
      <c r="G57" s="7"/>
      <c r="H57" s="46"/>
      <c r="I57" s="27"/>
      <c r="J57" s="7"/>
      <c r="K57" s="46">
        <v>0</v>
      </c>
      <c r="L57" s="4"/>
      <c r="M57" s="7"/>
      <c r="N57" s="27"/>
      <c r="O57" s="4"/>
      <c r="P57" s="7"/>
      <c r="Q57" s="305"/>
      <c r="R57" s="4"/>
      <c r="S57" s="7"/>
      <c r="T57" s="391"/>
      <c r="V57" s="7"/>
      <c r="W57" s="4"/>
      <c r="Y57" s="7"/>
      <c r="Z57" s="4"/>
      <c r="AC57" t="s">
        <v>567</v>
      </c>
    </row>
    <row r="58" spans="1:26" ht="12.75">
      <c r="A58" t="s">
        <v>43</v>
      </c>
      <c r="E58" s="161">
        <f>SUM(E38:E50)+E54+E56</f>
        <v>60684</v>
      </c>
      <c r="F58" s="10"/>
      <c r="G58" s="7"/>
      <c r="H58" s="161">
        <f>SUM(H38:H50)+H54+H56</f>
        <v>62010.429000000004</v>
      </c>
      <c r="I58" s="10"/>
      <c r="K58" s="161">
        <f>SUM(K38:K50)+K54+K56+K57</f>
        <v>65346.881</v>
      </c>
      <c r="L58" s="24"/>
      <c r="N58" s="188">
        <f>SUM(N38:N50)+N54+N56</f>
        <v>68160.2425</v>
      </c>
      <c r="O58" s="24"/>
      <c r="Q58" s="311">
        <f>SUM(Q38:Q50)+Q54+Q56</f>
        <v>69902.0435</v>
      </c>
      <c r="R58" s="24"/>
      <c r="T58" s="409">
        <f>SUM(T38:T50)+T54+T56</f>
        <v>73714.94114000001</v>
      </c>
      <c r="W58" s="6">
        <f>SUM(W38:W50)+W54+W56</f>
        <v>77467.20712400001</v>
      </c>
      <c r="Z58" s="6">
        <f>SUM(Z38:Z50)+Z54+Z56</f>
        <v>80920.85332388402</v>
      </c>
    </row>
    <row r="59" spans="1:26" ht="14.25">
      <c r="A59" t="s">
        <v>91</v>
      </c>
      <c r="E59" s="152"/>
      <c r="F59" s="31"/>
      <c r="H59" s="46"/>
      <c r="I59" s="27"/>
      <c r="K59" s="46"/>
      <c r="L59" s="4"/>
      <c r="N59" s="27"/>
      <c r="O59" s="4"/>
      <c r="Q59" s="305"/>
      <c r="R59" s="4"/>
      <c r="T59" s="391"/>
      <c r="W59" s="4"/>
      <c r="Z59" s="4"/>
    </row>
    <row r="60" spans="1:26" ht="12.75" hidden="1">
      <c r="A60" t="s">
        <v>127</v>
      </c>
      <c r="E60" s="151">
        <v>-640</v>
      </c>
      <c r="F60" s="37"/>
      <c r="H60" s="46"/>
      <c r="I60" s="27"/>
      <c r="K60" s="46"/>
      <c r="L60" s="4"/>
      <c r="N60" s="27"/>
      <c r="O60" s="4"/>
      <c r="Q60" s="305"/>
      <c r="R60" s="4"/>
      <c r="T60" s="391"/>
      <c r="W60" s="4"/>
      <c r="Z60" s="4"/>
    </row>
    <row r="61" spans="1:26" ht="12.75">
      <c r="A61" t="s">
        <v>39</v>
      </c>
      <c r="E61" s="166">
        <f>+E33-E58-E60</f>
        <v>600</v>
      </c>
      <c r="F61" s="53"/>
      <c r="G61" s="12"/>
      <c r="H61" s="166">
        <f>+H33-H58</f>
        <v>-161.42900000000373</v>
      </c>
      <c r="I61" s="53"/>
      <c r="J61" s="12"/>
      <c r="K61" s="178">
        <f>+K33-K58</f>
        <v>-21.708000000005995</v>
      </c>
      <c r="L61" s="56"/>
      <c r="N61" s="394">
        <f>+N33-N58</f>
        <v>-17.944499999997788</v>
      </c>
      <c r="O61" s="56"/>
      <c r="Q61" s="399">
        <f>+Q33-Q58</f>
        <v>-0.68049999998766</v>
      </c>
      <c r="R61" s="56"/>
      <c r="T61" s="413">
        <f>+T33-T58</f>
        <v>0.8018600000068545</v>
      </c>
      <c r="W61" s="11">
        <f>+W33-W58</f>
        <v>-1436.3001240000012</v>
      </c>
      <c r="Z61" s="11">
        <f>+Z33-Z58</f>
        <v>-3765.447358884019</v>
      </c>
    </row>
    <row r="62" spans="5:26" ht="12.75">
      <c r="E62" s="152"/>
      <c r="F62" s="31"/>
      <c r="H62" s="46"/>
      <c r="I62" s="27"/>
      <c r="J62" t="s">
        <v>16</v>
      </c>
      <c r="K62" s="46" t="s">
        <v>312</v>
      </c>
      <c r="L62" s="4"/>
      <c r="N62" s="27"/>
      <c r="O62" s="4"/>
      <c r="Q62" s="305"/>
      <c r="R62" s="4"/>
      <c r="T62" s="391"/>
      <c r="W62" s="4"/>
      <c r="Z62" s="4"/>
    </row>
    <row r="63" spans="1:27" ht="12.75">
      <c r="A63" s="15" t="s">
        <v>42</v>
      </c>
      <c r="B63" s="15"/>
      <c r="C63" s="15"/>
      <c r="D63" s="15"/>
      <c r="E63" s="46">
        <f>-E61</f>
        <v>-600</v>
      </c>
      <c r="F63" s="16"/>
      <c r="G63" s="15"/>
      <c r="H63" s="46">
        <f>-H61</f>
        <v>161.42900000000373</v>
      </c>
      <c r="I63" s="16"/>
      <c r="J63" s="15"/>
      <c r="K63" s="46">
        <f>-K61</f>
        <v>21.708000000005995</v>
      </c>
      <c r="L63" s="16"/>
      <c r="M63" s="15"/>
      <c r="N63" s="27">
        <f>-N61</f>
        <v>17.944499999997788</v>
      </c>
      <c r="O63" s="16"/>
      <c r="P63" s="15"/>
      <c r="Q63" s="305">
        <f>-Q61</f>
        <v>0.68049999998766</v>
      </c>
      <c r="R63" s="16"/>
      <c r="S63" s="15"/>
      <c r="T63" s="412">
        <f>-T61</f>
        <v>-0.8018600000068545</v>
      </c>
      <c r="U63" s="15"/>
      <c r="V63" s="15"/>
      <c r="W63" s="16">
        <f>-W61</f>
        <v>1436.3001240000012</v>
      </c>
      <c r="X63" s="15"/>
      <c r="Y63" s="15"/>
      <c r="Z63" s="16">
        <f>-Z61</f>
        <v>3765.447358884019</v>
      </c>
      <c r="AA63" s="4">
        <f>+Z63-W63</f>
        <v>2329.147234884018</v>
      </c>
    </row>
    <row r="64" spans="1:26" ht="12.75">
      <c r="A64" s="15"/>
      <c r="B64" s="15"/>
      <c r="C64" s="15"/>
      <c r="D64" s="15"/>
      <c r="E64" s="16"/>
      <c r="F64" s="16"/>
      <c r="G64" s="15"/>
      <c r="H64" s="16"/>
      <c r="I64" s="16"/>
      <c r="J64" s="15"/>
      <c r="K64" s="16"/>
      <c r="L64" s="16"/>
      <c r="M64" s="15"/>
      <c r="N64" s="27"/>
      <c r="O64" s="16"/>
      <c r="P64" s="15"/>
      <c r="Q64" s="305"/>
      <c r="R64" s="16"/>
      <c r="S64" s="15"/>
      <c r="T64" s="391"/>
      <c r="U64" s="15"/>
      <c r="V64" s="15"/>
      <c r="W64" s="16"/>
      <c r="X64" s="15"/>
      <c r="Y64" s="15"/>
      <c r="Z64" s="16"/>
    </row>
    <row r="65" spans="8:17" ht="0.75" customHeight="1">
      <c r="H65" s="27"/>
      <c r="I65" s="27"/>
      <c r="K65" s="4"/>
      <c r="L65" s="4"/>
      <c r="Q65" s="307"/>
    </row>
    <row r="66" spans="1:17" ht="12.75">
      <c r="A66" t="s">
        <v>529</v>
      </c>
      <c r="H66" s="27"/>
      <c r="I66" s="27"/>
      <c r="K66" s="4"/>
      <c r="L66" s="4"/>
      <c r="Q66" s="307"/>
    </row>
    <row r="67" spans="8:17" ht="12.75">
      <c r="H67" s="27"/>
      <c r="I67" s="27"/>
      <c r="K67" s="4"/>
      <c r="L67" s="4"/>
      <c r="Q67" s="307"/>
    </row>
    <row r="68" spans="1:17" ht="12.75">
      <c r="A68" t="s">
        <v>626</v>
      </c>
      <c r="Q68" s="307"/>
    </row>
    <row r="69" ht="12.75">
      <c r="Q69" s="307"/>
    </row>
    <row r="70" spans="1:26" s="19" customFormat="1" ht="12.75">
      <c r="A70" s="19" t="s">
        <v>95</v>
      </c>
      <c r="C70"/>
      <c r="E70" s="160">
        <f>'Debt Schedule'!F7/1000</f>
        <v>1090</v>
      </c>
      <c r="F70" s="29"/>
      <c r="G70" s="29"/>
      <c r="H70" s="160">
        <f>'Debt Schedule'!G7/1000</f>
        <v>1090</v>
      </c>
      <c r="I70" s="35"/>
      <c r="J70" s="29"/>
      <c r="K70" s="160">
        <f>'Debt Schedule'!H7/1000</f>
        <v>1090</v>
      </c>
      <c r="L70" s="29"/>
      <c r="M70" s="29"/>
      <c r="N70" s="35">
        <f>'Debt Schedule'!I7/1000</f>
        <v>1090</v>
      </c>
      <c r="O70" s="29"/>
      <c r="P70" s="29"/>
      <c r="Q70" s="398">
        <f>'Debt Schedule'!J7/1000</f>
        <v>1090</v>
      </c>
      <c r="S70" s="19" t="s">
        <v>16</v>
      </c>
      <c r="T70" s="410">
        <f>'Debt Schedule'!K7/1000</f>
        <v>1090</v>
      </c>
      <c r="U70" s="29"/>
      <c r="V70" s="29" t="s">
        <v>16</v>
      </c>
      <c r="W70" s="29">
        <f>'Debt Schedule'!L7/1000</f>
        <v>1090</v>
      </c>
      <c r="X70" s="29"/>
      <c r="Y70" s="29" t="s">
        <v>16</v>
      </c>
      <c r="Z70" s="29">
        <f>'Debt Schedule'!M7/1000</f>
        <v>1090</v>
      </c>
    </row>
    <row r="71" spans="3:26" s="19" customFormat="1" ht="12.75">
      <c r="C71"/>
      <c r="E71" s="160">
        <f>'Debt Schedule'!F8/1000</f>
        <v>757.845</v>
      </c>
      <c r="F71" s="29"/>
      <c r="G71" s="29"/>
      <c r="H71" s="160">
        <f>'Debt Schedule'!G8/1000</f>
        <v>711.52</v>
      </c>
      <c r="I71" s="35"/>
      <c r="J71" s="29"/>
      <c r="K71" s="160">
        <f>'Debt Schedule'!H8/1000</f>
        <v>663.833</v>
      </c>
      <c r="L71" s="29"/>
      <c r="M71" s="29"/>
      <c r="N71" s="35">
        <f>'Debt Schedule'!I8/1000</f>
        <v>615.873</v>
      </c>
      <c r="O71" s="29"/>
      <c r="P71" s="29"/>
      <c r="Q71" s="398">
        <f>'Debt Schedule'!J8/1000</f>
        <v>555.923</v>
      </c>
      <c r="T71" s="410">
        <f>'Debt Schedule'!K8/1000</f>
        <v>498.698</v>
      </c>
      <c r="U71" s="29"/>
      <c r="V71" s="29"/>
      <c r="W71" s="29">
        <f>'Debt Schedule'!L8/1000</f>
        <v>438.748</v>
      </c>
      <c r="X71" s="29"/>
      <c r="Y71" s="29"/>
      <c r="Z71" s="29">
        <f>'Debt Schedule'!M8/1000</f>
        <v>385.61</v>
      </c>
    </row>
    <row r="72" spans="2:26" ht="12.75">
      <c r="B72" t="s">
        <v>63</v>
      </c>
      <c r="E72" s="46">
        <v>-1100</v>
      </c>
      <c r="F72" s="4"/>
      <c r="G72" s="4"/>
      <c r="H72" s="46">
        <v>-1100</v>
      </c>
      <c r="I72" s="27"/>
      <c r="J72" s="4"/>
      <c r="K72" s="46">
        <v>-1089</v>
      </c>
      <c r="L72" s="4"/>
      <c r="M72" s="4"/>
      <c r="N72" s="27">
        <v>-1099</v>
      </c>
      <c r="O72" s="4"/>
      <c r="P72" s="4" t="s">
        <v>495</v>
      </c>
      <c r="Q72" s="305">
        <v>-1100</v>
      </c>
      <c r="R72" s="25"/>
      <c r="S72" s="25"/>
      <c r="T72" s="391">
        <v>-1099</v>
      </c>
      <c r="U72" s="4"/>
      <c r="V72" s="4"/>
      <c r="W72" s="435">
        <v>-700</v>
      </c>
      <c r="X72" s="435"/>
      <c r="Y72" s="435"/>
      <c r="Z72" s="435">
        <v>-700</v>
      </c>
    </row>
    <row r="73" spans="2:26" ht="12.75">
      <c r="B73" t="s">
        <v>271</v>
      </c>
      <c r="E73" s="46"/>
      <c r="F73" s="4"/>
      <c r="G73" s="4"/>
      <c r="H73" s="46"/>
      <c r="I73" s="27"/>
      <c r="J73" s="4"/>
      <c r="K73" s="46">
        <f>'Debt Schedule'!H35/1000</f>
        <v>600</v>
      </c>
      <c r="L73" s="4"/>
      <c r="M73" s="4"/>
      <c r="N73" s="27">
        <f>'Debt Schedule'!I35/1000</f>
        <v>600</v>
      </c>
      <c r="O73" s="4"/>
      <c r="P73" s="4"/>
      <c r="Q73" s="305">
        <f>'Debt Schedule'!J35/1000</f>
        <v>600</v>
      </c>
      <c r="R73" s="25"/>
      <c r="S73" s="25"/>
      <c r="T73" s="391">
        <f>'Debt Schedule'!K35/1000</f>
        <v>600</v>
      </c>
      <c r="U73" s="4"/>
      <c r="V73" s="4"/>
      <c r="W73" s="4">
        <f>'Debt Schedule'!L35/1000</f>
        <v>600</v>
      </c>
      <c r="X73" s="4"/>
      <c r="Y73" s="4"/>
      <c r="Z73" s="4">
        <f>'Debt Schedule'!M35/1000</f>
        <v>600</v>
      </c>
    </row>
    <row r="74" spans="5:26" ht="12.75">
      <c r="E74" s="46"/>
      <c r="F74" s="4"/>
      <c r="G74" s="4"/>
      <c r="H74" s="46"/>
      <c r="I74" s="27"/>
      <c r="J74" s="4"/>
      <c r="K74" s="46">
        <f>'Debt Schedule'!H36/1000</f>
        <v>681.915</v>
      </c>
      <c r="L74" s="4"/>
      <c r="M74" s="4"/>
      <c r="N74" s="27">
        <f>'Debt Schedule'!I36/1000</f>
        <v>431.61</v>
      </c>
      <c r="O74" s="4"/>
      <c r="P74" s="4"/>
      <c r="Q74" s="305">
        <f>'Debt Schedule'!J36/1000</f>
        <v>413.61</v>
      </c>
      <c r="R74" s="25"/>
      <c r="S74" s="25"/>
      <c r="T74" s="391">
        <f>'Debt Schedule'!K36/1000</f>
        <v>395.61</v>
      </c>
      <c r="U74" s="4"/>
      <c r="V74" s="4"/>
      <c r="W74" s="4">
        <f>'Debt Schedule'!L36/1000</f>
        <v>377.61</v>
      </c>
      <c r="X74" s="4"/>
      <c r="Y74" s="4"/>
      <c r="Z74" s="4">
        <f>'Debt Schedule'!M36/1000</f>
        <v>358.86</v>
      </c>
    </row>
    <row r="75" spans="2:26" ht="12.75">
      <c r="B75" t="s">
        <v>107</v>
      </c>
      <c r="E75" s="46">
        <f>'Debt Schedule'!F9</f>
        <v>0</v>
      </c>
      <c r="F75" s="4"/>
      <c r="G75" s="4"/>
      <c r="H75" s="46">
        <v>25</v>
      </c>
      <c r="I75" s="27"/>
      <c r="J75" s="4"/>
      <c r="K75" s="46">
        <f>'Debt Schedule'!H9/1000</f>
        <v>220</v>
      </c>
      <c r="L75" s="4"/>
      <c r="M75" s="4"/>
      <c r="N75" s="27">
        <f>'Debt Schedule'!I9/1000</f>
        <v>220</v>
      </c>
      <c r="O75" s="4"/>
      <c r="P75" s="4"/>
      <c r="Q75" s="305">
        <f>'Debt Schedule'!J9/1000</f>
        <v>220</v>
      </c>
      <c r="R75" s="25"/>
      <c r="S75" s="25"/>
      <c r="T75" s="391">
        <f>'Debt Schedule'!K9/1000</f>
        <v>220</v>
      </c>
      <c r="U75" s="4"/>
      <c r="V75" s="4"/>
      <c r="W75" s="4">
        <f>'Debt Schedule'!L9/1000</f>
        <v>220</v>
      </c>
      <c r="X75" s="4"/>
      <c r="Y75" s="4"/>
      <c r="Z75" s="4">
        <f>'Debt Schedule'!M9/1000</f>
        <v>220</v>
      </c>
    </row>
    <row r="76" spans="2:26" ht="12.75">
      <c r="B76" t="s">
        <v>16</v>
      </c>
      <c r="E76" s="46">
        <f>'Debt Schedule'!F10</f>
        <v>0</v>
      </c>
      <c r="F76" s="4"/>
      <c r="G76" s="4"/>
      <c r="H76" s="46">
        <v>0</v>
      </c>
      <c r="I76" s="27"/>
      <c r="J76" s="4"/>
      <c r="K76" s="46">
        <f>'Debt Schedule'!H10/1000</f>
        <v>106.825</v>
      </c>
      <c r="L76" s="4"/>
      <c r="M76" s="4"/>
      <c r="N76" s="27">
        <f>'Debt Schedule'!I10/1000</f>
        <v>62.7</v>
      </c>
      <c r="O76" s="4"/>
      <c r="P76" s="4"/>
      <c r="Q76" s="305">
        <f>'Debt Schedule'!J10/1000</f>
        <v>56.1</v>
      </c>
      <c r="T76" s="391">
        <f>'Debt Schedule'!K10/1000</f>
        <v>49.5</v>
      </c>
      <c r="U76" s="4"/>
      <c r="V76" s="4"/>
      <c r="W76" s="4">
        <f>'Debt Schedule'!L10/1000</f>
        <v>42.9</v>
      </c>
      <c r="X76" s="4"/>
      <c r="Y76" s="4"/>
      <c r="Z76" s="4">
        <f>'Debt Schedule'!M10/1000</f>
        <v>36.025</v>
      </c>
    </row>
    <row r="77" spans="2:26" ht="12.75">
      <c r="B77" t="s">
        <v>559</v>
      </c>
      <c r="E77" s="46"/>
      <c r="F77" s="4"/>
      <c r="G77" s="4"/>
      <c r="H77" s="46"/>
      <c r="I77" s="27"/>
      <c r="J77" s="4"/>
      <c r="K77" s="46"/>
      <c r="L77" s="4"/>
      <c r="M77" s="4"/>
      <c r="N77" s="27">
        <f>'Debt Schedule'!I37/1000</f>
        <v>500</v>
      </c>
      <c r="O77" s="4"/>
      <c r="P77" s="4"/>
      <c r="Q77" s="305">
        <f>'Debt Schedule'!J37/1000</f>
        <v>500</v>
      </c>
      <c r="T77" s="391">
        <f>'Debt Schedule'!K37/1000</f>
        <v>500</v>
      </c>
      <c r="U77" s="4"/>
      <c r="V77" s="4"/>
      <c r="W77" s="4">
        <f>'Debt Schedule'!L37/1000</f>
        <v>500</v>
      </c>
      <c r="X77" s="4"/>
      <c r="Y77" s="4"/>
      <c r="Z77" s="4">
        <f>'Debt Schedule'!M37/1000</f>
        <v>500</v>
      </c>
    </row>
    <row r="78" spans="5:26" ht="12.75">
      <c r="E78" s="46"/>
      <c r="F78" s="4"/>
      <c r="G78" s="4"/>
      <c r="H78" s="46"/>
      <c r="I78" s="27"/>
      <c r="J78" s="4"/>
      <c r="K78" s="46"/>
      <c r="L78" s="4"/>
      <c r="M78" s="4"/>
      <c r="N78" s="27">
        <f>'Debt Schedule'!I38/1000</f>
        <v>406.75</v>
      </c>
      <c r="O78" s="4"/>
      <c r="P78" s="4"/>
      <c r="Q78" s="305">
        <f>'Debt Schedule'!J38/1000</f>
        <v>391.75</v>
      </c>
      <c r="T78" s="391">
        <f>'Debt Schedule'!K38/1000</f>
        <v>376.75</v>
      </c>
      <c r="U78" s="4"/>
      <c r="V78" s="4"/>
      <c r="W78" s="4">
        <f>'Debt Schedule'!L38/1000</f>
        <v>361.75</v>
      </c>
      <c r="X78" s="4"/>
      <c r="Y78" s="4"/>
      <c r="Z78" s="4">
        <f>'Debt Schedule'!M38/1000</f>
        <v>345.5</v>
      </c>
    </row>
    <row r="79" spans="2:26" ht="12.75">
      <c r="B79" t="s">
        <v>560</v>
      </c>
      <c r="E79" s="46"/>
      <c r="F79" s="4"/>
      <c r="G79" s="4"/>
      <c r="H79" s="46"/>
      <c r="I79" s="27"/>
      <c r="J79" s="4"/>
      <c r="K79" s="46"/>
      <c r="L79" s="4"/>
      <c r="M79" s="4"/>
      <c r="N79" s="27"/>
      <c r="O79" s="4"/>
      <c r="P79" s="4"/>
      <c r="Q79" s="305">
        <v>0</v>
      </c>
      <c r="T79" s="391">
        <v>105</v>
      </c>
      <c r="U79" s="4"/>
      <c r="V79" s="4"/>
      <c r="W79" s="352">
        <f>'Debt Schedule'!L39/1000</f>
        <v>105</v>
      </c>
      <c r="X79" s="4"/>
      <c r="Y79" s="4"/>
      <c r="Z79" s="352">
        <f>'Debt Schedule'!M39/1000</f>
        <v>105</v>
      </c>
    </row>
    <row r="80" spans="5:26" ht="12.75">
      <c r="E80" s="46"/>
      <c r="F80" s="4"/>
      <c r="G80" s="4"/>
      <c r="H80" s="46"/>
      <c r="I80" s="27"/>
      <c r="J80" s="4"/>
      <c r="K80" s="46"/>
      <c r="L80" s="4"/>
      <c r="M80" s="4"/>
      <c r="N80" s="27"/>
      <c r="O80" s="4"/>
      <c r="P80" s="4"/>
      <c r="Q80" s="305">
        <v>0</v>
      </c>
      <c r="T80" s="391">
        <f>'Debt Schedule'!K40/1000</f>
        <v>86.825</v>
      </c>
      <c r="U80" s="4"/>
      <c r="V80" s="4"/>
      <c r="W80" s="352">
        <f>'Debt Schedule'!N40/1000</f>
        <v>70.288</v>
      </c>
      <c r="X80" s="4"/>
      <c r="Y80" s="4"/>
      <c r="Z80" s="352">
        <f>'Debt Schedule'!M40/1000</f>
        <v>74.75</v>
      </c>
    </row>
    <row r="81" spans="2:26" ht="12.75">
      <c r="B81" t="s">
        <v>624</v>
      </c>
      <c r="E81" s="46"/>
      <c r="F81" s="4"/>
      <c r="G81" s="4"/>
      <c r="H81" s="46"/>
      <c r="I81" s="27"/>
      <c r="J81" s="4"/>
      <c r="K81" s="46"/>
      <c r="L81" s="4"/>
      <c r="M81" s="4"/>
      <c r="N81" s="27"/>
      <c r="O81" s="4"/>
      <c r="P81" s="4"/>
      <c r="Q81" s="305"/>
      <c r="T81" s="391">
        <v>90</v>
      </c>
      <c r="U81" s="4"/>
      <c r="V81" s="4"/>
      <c r="W81" s="430">
        <v>0</v>
      </c>
      <c r="X81" s="435"/>
      <c r="Y81" s="435"/>
      <c r="Z81" s="435">
        <v>0</v>
      </c>
    </row>
    <row r="82" spans="2:26" ht="12.75">
      <c r="B82" t="s">
        <v>625</v>
      </c>
      <c r="E82" s="46"/>
      <c r="F82" s="4"/>
      <c r="G82" s="4"/>
      <c r="H82" s="46"/>
      <c r="I82" s="27"/>
      <c r="J82" s="4"/>
      <c r="K82" s="46"/>
      <c r="L82" s="4"/>
      <c r="M82" s="4"/>
      <c r="N82" s="27"/>
      <c r="O82" s="4"/>
      <c r="P82" s="4"/>
      <c r="Q82" s="305">
        <v>0</v>
      </c>
      <c r="T82" s="430">
        <f>'Debt Schedule'!K41/1000</f>
        <v>148</v>
      </c>
      <c r="U82" s="4"/>
      <c r="V82" s="4"/>
      <c r="W82" s="430">
        <v>285</v>
      </c>
      <c r="X82" s="435"/>
      <c r="Y82" s="435"/>
      <c r="Z82" s="435">
        <v>580</v>
      </c>
    </row>
    <row r="83" spans="5:26" ht="12.75">
      <c r="E83" s="46"/>
      <c r="F83" s="4"/>
      <c r="G83" s="4"/>
      <c r="H83" s="46"/>
      <c r="I83" s="27"/>
      <c r="J83" s="4"/>
      <c r="K83" s="46"/>
      <c r="L83" s="4"/>
      <c r="M83" s="4"/>
      <c r="N83" s="27"/>
      <c r="O83" s="4"/>
      <c r="P83" s="4"/>
      <c r="Q83" s="305">
        <v>0</v>
      </c>
      <c r="T83" s="391">
        <f>'Debt Schedule'!K42/1000</f>
        <v>0</v>
      </c>
      <c r="U83" s="4"/>
      <c r="V83" s="4"/>
      <c r="W83" s="352">
        <v>285</v>
      </c>
      <c r="X83" s="4"/>
      <c r="Y83" s="4"/>
      <c r="Z83" s="4"/>
    </row>
    <row r="84" spans="2:26" ht="12.75">
      <c r="B84" t="s">
        <v>308</v>
      </c>
      <c r="E84" s="46"/>
      <c r="F84" s="4"/>
      <c r="G84" s="4"/>
      <c r="H84" s="46"/>
      <c r="I84" s="27"/>
      <c r="J84" s="4"/>
      <c r="K84" s="46">
        <v>0</v>
      </c>
      <c r="L84" s="4"/>
      <c r="M84" s="4"/>
      <c r="N84" s="27">
        <f>-10-2</f>
        <v>-12</v>
      </c>
      <c r="O84" s="4"/>
      <c r="P84" s="4"/>
      <c r="Q84" s="305">
        <v>0</v>
      </c>
      <c r="T84" s="391">
        <v>-9</v>
      </c>
      <c r="U84" s="4"/>
      <c r="V84" s="4"/>
      <c r="W84" s="4">
        <v>-9</v>
      </c>
      <c r="X84" s="4"/>
      <c r="Y84" s="4"/>
      <c r="Z84" s="4">
        <v>-8</v>
      </c>
    </row>
    <row r="85" spans="2:26" ht="12.75">
      <c r="B85" t="s">
        <v>52</v>
      </c>
      <c r="E85" s="161">
        <f>SUM(E70:E76)</f>
        <v>747.845</v>
      </c>
      <c r="F85" s="24"/>
      <c r="G85" s="4"/>
      <c r="H85" s="161">
        <f>SUM(H70:H76)</f>
        <v>726.52</v>
      </c>
      <c r="I85" s="10"/>
      <c r="J85" s="4"/>
      <c r="K85" s="161">
        <f>SUM(K70:K84)</f>
        <v>2273.573</v>
      </c>
      <c r="L85" s="24"/>
      <c r="M85" s="4"/>
      <c r="N85" s="188">
        <f>SUM(N70:N84)</f>
        <v>2815.933</v>
      </c>
      <c r="O85" s="24"/>
      <c r="P85" s="4"/>
      <c r="Q85" s="311">
        <f>SUM(Q70:Q84)</f>
        <v>2727.383</v>
      </c>
      <c r="R85" s="57"/>
      <c r="T85" s="409">
        <f>SUM(T70:T84)</f>
        <v>3052.383</v>
      </c>
      <c r="U85" s="4"/>
      <c r="V85" s="4"/>
      <c r="W85" s="6">
        <f>SUM(W70:W84)</f>
        <v>3667.2960000000003</v>
      </c>
      <c r="X85" s="4"/>
      <c r="Y85" s="4"/>
      <c r="Z85" s="6">
        <f>SUM(Z70:Z84)</f>
        <v>3587.7450000000003</v>
      </c>
    </row>
    <row r="86" spans="5:17" ht="12.75">
      <c r="E86" s="152"/>
      <c r="H86" s="152"/>
      <c r="K86" s="152"/>
      <c r="Q86" s="307"/>
    </row>
    <row r="87" spans="1:26" ht="12.75">
      <c r="A87" t="s">
        <v>311</v>
      </c>
      <c r="E87" s="152">
        <v>534</v>
      </c>
      <c r="H87" s="152">
        <v>534</v>
      </c>
      <c r="K87" s="152">
        <v>534</v>
      </c>
      <c r="N87" s="31">
        <v>528</v>
      </c>
      <c r="Q87" s="307">
        <v>523</v>
      </c>
      <c r="T87" s="407">
        <v>368</v>
      </c>
      <c r="W87">
        <v>200</v>
      </c>
      <c r="Z87">
        <v>0</v>
      </c>
    </row>
    <row r="88" spans="3:27" ht="12.75">
      <c r="C88" t="s">
        <v>53</v>
      </c>
      <c r="E88" s="152">
        <v>550</v>
      </c>
      <c r="H88" s="152">
        <v>544</v>
      </c>
      <c r="K88" s="152">
        <f>544+100</f>
        <v>644</v>
      </c>
      <c r="N88" s="31">
        <v>650</v>
      </c>
      <c r="Q88" s="307">
        <v>0</v>
      </c>
      <c r="T88" s="407">
        <v>0</v>
      </c>
      <c r="W88">
        <v>0</v>
      </c>
      <c r="Z88">
        <v>0</v>
      </c>
      <c r="AA88" t="s">
        <v>530</v>
      </c>
    </row>
    <row r="89" spans="3:26" ht="12.75">
      <c r="C89" t="s">
        <v>54</v>
      </c>
      <c r="E89" s="153">
        <f>+E87+E88</f>
        <v>1084</v>
      </c>
      <c r="F89" s="23"/>
      <c r="H89" s="153">
        <f>+H87+H88</f>
        <v>1078</v>
      </c>
      <c r="I89" s="38"/>
      <c r="K89" s="153">
        <f>+K87+K88</f>
        <v>1178</v>
      </c>
      <c r="L89" s="23"/>
      <c r="N89" s="395">
        <f>+N87+N88</f>
        <v>1178</v>
      </c>
      <c r="O89" s="23"/>
      <c r="Q89" s="400">
        <f>+Q87+Q88</f>
        <v>523</v>
      </c>
      <c r="R89" s="23"/>
      <c r="T89" s="414">
        <f>+T87+T88</f>
        <v>368</v>
      </c>
      <c r="W89" s="20">
        <f>+W87+W88</f>
        <v>200</v>
      </c>
      <c r="Z89" s="20">
        <f>+Z87+Z88</f>
        <v>0</v>
      </c>
    </row>
    <row r="90" spans="5:17" ht="12.75">
      <c r="E90" s="152"/>
      <c r="Q90" s="307"/>
    </row>
    <row r="91" spans="1:28" ht="12.75">
      <c r="A91" t="s">
        <v>211</v>
      </c>
      <c r="E91" s="154">
        <v>510</v>
      </c>
      <c r="F91" s="24"/>
      <c r="G91" s="23"/>
      <c r="H91" s="10">
        <v>451</v>
      </c>
      <c r="I91" s="10"/>
      <c r="J91" s="23"/>
      <c r="K91" s="24">
        <v>601</v>
      </c>
      <c r="L91" s="24"/>
      <c r="M91" s="181">
        <v>0</v>
      </c>
      <c r="N91" s="10">
        <v>546</v>
      </c>
      <c r="O91" s="24"/>
      <c r="P91" s="181">
        <v>0</v>
      </c>
      <c r="Q91" s="401">
        <v>555</v>
      </c>
      <c r="R91" s="24"/>
      <c r="S91" s="181">
        <v>0.02</v>
      </c>
      <c r="T91" s="411">
        <f>+SUM(Q91*S91)+Q91</f>
        <v>566.1</v>
      </c>
      <c r="U91" s="31"/>
      <c r="V91" s="385">
        <v>0.02</v>
      </c>
      <c r="W91" s="10">
        <f>+SUM(T91*V91)+T91</f>
        <v>577.422</v>
      </c>
      <c r="X91" s="31"/>
      <c r="Y91" s="385">
        <v>0.02</v>
      </c>
      <c r="Z91" s="10">
        <f>+SUM(W91*Y91)+W91</f>
        <v>588.97044</v>
      </c>
      <c r="AA91" s="31"/>
      <c r="AB91" s="31"/>
    </row>
    <row r="92" spans="1:28" ht="12.75">
      <c r="A92" t="s">
        <v>404</v>
      </c>
      <c r="E92" s="24"/>
      <c r="F92" s="24"/>
      <c r="G92" s="23"/>
      <c r="H92" s="10"/>
      <c r="I92" s="10"/>
      <c r="J92" s="23"/>
      <c r="K92" s="24"/>
      <c r="L92" s="24"/>
      <c r="M92" s="23"/>
      <c r="N92" s="10"/>
      <c r="O92" s="24"/>
      <c r="P92" s="23"/>
      <c r="Q92" s="305"/>
      <c r="R92" s="24"/>
      <c r="S92" s="23"/>
      <c r="T92" s="411"/>
      <c r="U92" s="31"/>
      <c r="V92" s="38"/>
      <c r="W92" s="10"/>
      <c r="X92" s="31"/>
      <c r="Y92" s="38"/>
      <c r="Z92" s="10"/>
      <c r="AA92" s="31"/>
      <c r="AB92" s="31"/>
    </row>
    <row r="93" spans="17:28" ht="12.75">
      <c r="Q93" s="307"/>
      <c r="U93" s="31"/>
      <c r="V93" s="31"/>
      <c r="W93" s="31"/>
      <c r="X93" s="31"/>
      <c r="Y93" s="31"/>
      <c r="Z93" s="31"/>
      <c r="AA93" s="31"/>
      <c r="AB93" s="31"/>
    </row>
    <row r="94" spans="1:28" ht="12.75">
      <c r="A94" t="s">
        <v>68</v>
      </c>
      <c r="B94" t="s">
        <v>69</v>
      </c>
      <c r="E94" s="152">
        <v>3495</v>
      </c>
      <c r="G94" s="7" t="s">
        <v>16</v>
      </c>
      <c r="H94" s="167">
        <v>3531</v>
      </c>
      <c r="I94" s="30"/>
      <c r="J94" s="173">
        <v>-0.2137</v>
      </c>
      <c r="K94" s="21">
        <v>2825</v>
      </c>
      <c r="L94" s="21"/>
      <c r="M94" s="185">
        <v>-0.075</v>
      </c>
      <c r="N94" s="30">
        <v>2825</v>
      </c>
      <c r="O94" s="21"/>
      <c r="P94" s="7">
        <v>0</v>
      </c>
      <c r="Q94" s="308">
        <v>3003</v>
      </c>
      <c r="R94" s="21"/>
      <c r="S94" s="173">
        <v>0</v>
      </c>
      <c r="T94" s="415">
        <v>3344</v>
      </c>
      <c r="U94" s="31"/>
      <c r="V94" s="387">
        <v>0.05</v>
      </c>
      <c r="W94" s="30">
        <f>SUM(T94*V94)+T94</f>
        <v>3511.2</v>
      </c>
      <c r="X94" s="31"/>
      <c r="Y94" s="387">
        <v>0.05</v>
      </c>
      <c r="Z94" s="30">
        <f>SUM(W94*Y94)+W94</f>
        <v>3686.7599999999998</v>
      </c>
      <c r="AA94" s="31"/>
      <c r="AB94" s="31"/>
    </row>
    <row r="95" spans="2:27" ht="12.75">
      <c r="B95" t="s">
        <v>70</v>
      </c>
      <c r="E95" s="152">
        <v>1100</v>
      </c>
      <c r="H95" s="152">
        <v>1100</v>
      </c>
      <c r="K95" s="152">
        <f>1100-11</f>
        <v>1089</v>
      </c>
      <c r="N95" s="31">
        <v>1099</v>
      </c>
      <c r="P95" t="s">
        <v>495</v>
      </c>
      <c r="Q95" s="307">
        <v>1100</v>
      </c>
      <c r="S95" t="s">
        <v>495</v>
      </c>
      <c r="T95" s="407">
        <v>1099</v>
      </c>
      <c r="W95" s="180">
        <v>700</v>
      </c>
      <c r="X95" s="180"/>
      <c r="Y95" s="180"/>
      <c r="Z95" s="180">
        <v>700</v>
      </c>
      <c r="AA95" t="s">
        <v>531</v>
      </c>
    </row>
    <row r="96" spans="2:26" ht="12.75">
      <c r="B96" t="s">
        <v>71</v>
      </c>
      <c r="E96" s="152">
        <v>1812</v>
      </c>
      <c r="G96" s="7" t="s">
        <v>16</v>
      </c>
      <c r="H96" s="152">
        <v>1789</v>
      </c>
      <c r="J96" s="173">
        <v>-0.056138</v>
      </c>
      <c r="K96" s="167">
        <v>1521</v>
      </c>
      <c r="L96" s="21"/>
      <c r="M96" s="7">
        <v>-0.05</v>
      </c>
      <c r="N96" s="30">
        <v>1521</v>
      </c>
      <c r="O96" s="21"/>
      <c r="P96" s="7" t="s">
        <v>16</v>
      </c>
      <c r="Q96" s="308">
        <v>1690</v>
      </c>
      <c r="R96" s="21"/>
      <c r="S96" s="7" t="s">
        <v>16</v>
      </c>
      <c r="T96" s="415">
        <v>1955</v>
      </c>
      <c r="V96" s="7" t="s">
        <v>16</v>
      </c>
      <c r="W96" s="21">
        <f>+T96</f>
        <v>1955</v>
      </c>
      <c r="Y96" s="7" t="s">
        <v>16</v>
      </c>
      <c r="Z96" s="21">
        <f>+W96</f>
        <v>1955</v>
      </c>
    </row>
    <row r="97" spans="2:26" ht="12.75">
      <c r="B97" t="s">
        <v>293</v>
      </c>
      <c r="E97" s="152"/>
      <c r="G97" s="7"/>
      <c r="H97" s="152">
        <v>-168</v>
      </c>
      <c r="K97" s="167"/>
      <c r="L97" s="21"/>
      <c r="N97" s="30"/>
      <c r="O97" s="21"/>
      <c r="P97" s="7"/>
      <c r="Q97" s="308"/>
      <c r="R97" s="21"/>
      <c r="S97" s="7"/>
      <c r="T97" s="415"/>
      <c r="V97" s="7"/>
      <c r="W97" s="21"/>
      <c r="Y97" s="7"/>
      <c r="Z97" s="21"/>
    </row>
    <row r="98" spans="2:26" ht="12.75">
      <c r="B98" t="s">
        <v>294</v>
      </c>
      <c r="E98" s="152">
        <v>1041</v>
      </c>
      <c r="G98" s="7" t="s">
        <v>16</v>
      </c>
      <c r="H98" s="167">
        <v>974</v>
      </c>
      <c r="I98" s="30"/>
      <c r="J98" s="173">
        <v>-0.1337353</v>
      </c>
      <c r="K98" s="167">
        <v>827</v>
      </c>
      <c r="L98" s="21"/>
      <c r="M98" s="173">
        <v>-0.05</v>
      </c>
      <c r="N98" s="30">
        <v>827</v>
      </c>
      <c r="O98" s="21"/>
      <c r="P98" s="21"/>
      <c r="Q98" s="308">
        <f>+N98</f>
        <v>827</v>
      </c>
      <c r="R98" s="21"/>
      <c r="S98" s="21"/>
      <c r="T98" s="415">
        <v>827</v>
      </c>
      <c r="V98" s="21"/>
      <c r="W98" s="21">
        <f>+T98</f>
        <v>827</v>
      </c>
      <c r="Y98" s="21"/>
      <c r="Z98" s="21">
        <f>+W98</f>
        <v>827</v>
      </c>
    </row>
    <row r="99" spans="2:26" ht="12.75">
      <c r="B99" t="s">
        <v>293</v>
      </c>
      <c r="E99" s="152"/>
      <c r="G99" s="7"/>
      <c r="H99" s="167">
        <v>-91</v>
      </c>
      <c r="I99" s="30"/>
      <c r="J99" s="173"/>
      <c r="K99" s="167"/>
      <c r="L99" s="21"/>
      <c r="M99" s="173"/>
      <c r="N99" s="30"/>
      <c r="O99" s="21"/>
      <c r="P99" s="21"/>
      <c r="Q99" s="308"/>
      <c r="R99" s="21"/>
      <c r="S99" s="21"/>
      <c r="T99" s="415"/>
      <c r="V99" s="21"/>
      <c r="W99" s="21"/>
      <c r="Y99" s="21"/>
      <c r="Z99" s="21"/>
    </row>
    <row r="100" spans="2:26" ht="12.75">
      <c r="B100" t="s">
        <v>72</v>
      </c>
      <c r="E100" s="152">
        <f>68+207+68+26+24</f>
        <v>393</v>
      </c>
      <c r="H100" s="152">
        <v>328</v>
      </c>
      <c r="J100" s="173">
        <v>-0.145</v>
      </c>
      <c r="K100" s="167">
        <v>266</v>
      </c>
      <c r="N100" s="30">
        <f>255+133</f>
        <v>388</v>
      </c>
      <c r="O100" s="21"/>
      <c r="P100" s="21" t="s">
        <v>495</v>
      </c>
      <c r="Q100" s="308">
        <v>281</v>
      </c>
      <c r="T100" s="407">
        <v>290</v>
      </c>
      <c r="W100">
        <f>+T100</f>
        <v>290</v>
      </c>
      <c r="Z100">
        <f>+W100</f>
        <v>290</v>
      </c>
    </row>
    <row r="101" spans="2:26" ht="12.75">
      <c r="B101" t="s">
        <v>57</v>
      </c>
      <c r="E101" s="153">
        <f>SUM(E94:E100)</f>
        <v>7841</v>
      </c>
      <c r="F101" s="23"/>
      <c r="H101" s="168">
        <f>SUM(H94:H100)</f>
        <v>7463</v>
      </c>
      <c r="I101" s="54"/>
      <c r="J101" s="21"/>
      <c r="K101" s="168">
        <f>SUM(K94:K100)</f>
        <v>6528</v>
      </c>
      <c r="L101" s="58"/>
      <c r="M101" s="21"/>
      <c r="N101" s="186">
        <f>SUM(N94:N100)</f>
        <v>6660</v>
      </c>
      <c r="O101" s="58"/>
      <c r="P101" s="21"/>
      <c r="Q101" s="309">
        <f>SUM(Q94:Q100)</f>
        <v>6901</v>
      </c>
      <c r="R101" s="58"/>
      <c r="S101" s="21"/>
      <c r="T101" s="416">
        <f>SUM(T94:T100)</f>
        <v>7515</v>
      </c>
      <c r="V101" s="21"/>
      <c r="W101" s="22">
        <f>SUM(W94:W100)</f>
        <v>7283.2</v>
      </c>
      <c r="Y101" s="21"/>
      <c r="Z101" s="22">
        <f>SUM(Z94:Z100)</f>
        <v>7458.76</v>
      </c>
    </row>
    <row r="102" spans="5:17" ht="12.75">
      <c r="E102" s="152"/>
      <c r="H102" s="152"/>
      <c r="K102" s="152"/>
      <c r="Q102" s="307"/>
    </row>
    <row r="103" spans="1:17" ht="12.75">
      <c r="A103" t="s">
        <v>73</v>
      </c>
      <c r="D103" t="s">
        <v>16</v>
      </c>
      <c r="E103" s="152" t="s">
        <v>16</v>
      </c>
      <c r="G103" t="s">
        <v>16</v>
      </c>
      <c r="H103" s="152" t="s">
        <v>16</v>
      </c>
      <c r="K103" s="152"/>
      <c r="Q103" s="307"/>
    </row>
    <row r="104" spans="2:20" ht="12.75">
      <c r="B104" t="s">
        <v>74</v>
      </c>
      <c r="E104" s="152">
        <v>400</v>
      </c>
      <c r="H104" s="152">
        <v>0</v>
      </c>
      <c r="K104" s="152">
        <v>33</v>
      </c>
      <c r="N104" s="31">
        <v>30</v>
      </c>
      <c r="Q104" s="307">
        <v>0</v>
      </c>
      <c r="T104" s="407">
        <v>0</v>
      </c>
    </row>
    <row r="105" spans="2:26" ht="12.75">
      <c r="B105" t="s">
        <v>207</v>
      </c>
      <c r="E105" s="152"/>
      <c r="H105" s="152">
        <v>100</v>
      </c>
      <c r="K105" s="152">
        <v>50</v>
      </c>
      <c r="N105" s="31">
        <v>100</v>
      </c>
      <c r="P105" t="s">
        <v>16</v>
      </c>
      <c r="Q105" s="307">
        <v>100</v>
      </c>
      <c r="T105" s="407">
        <v>100</v>
      </c>
      <c r="W105">
        <v>100</v>
      </c>
      <c r="Z105">
        <v>100</v>
      </c>
    </row>
    <row r="106" spans="2:26" ht="12.75">
      <c r="B106" t="s">
        <v>296</v>
      </c>
      <c r="E106" s="152"/>
      <c r="H106" s="152">
        <v>100</v>
      </c>
      <c r="K106" s="152">
        <v>100</v>
      </c>
      <c r="N106" s="31">
        <v>100</v>
      </c>
      <c r="Q106" s="307">
        <v>135</v>
      </c>
      <c r="T106" s="436">
        <v>150</v>
      </c>
      <c r="W106">
        <v>150</v>
      </c>
      <c r="Z106">
        <v>150</v>
      </c>
    </row>
    <row r="107" spans="2:26" ht="12.75">
      <c r="B107" t="s">
        <v>318</v>
      </c>
      <c r="E107" s="152"/>
      <c r="H107" s="152"/>
      <c r="K107" s="152"/>
      <c r="N107" s="31">
        <v>100</v>
      </c>
      <c r="Q107" s="307">
        <v>100</v>
      </c>
      <c r="T107" s="436">
        <v>120</v>
      </c>
      <c r="W107">
        <v>120</v>
      </c>
      <c r="Z107">
        <v>120</v>
      </c>
    </row>
    <row r="108" spans="2:26" ht="12.75">
      <c r="B108" t="s">
        <v>402</v>
      </c>
      <c r="E108" s="152"/>
      <c r="H108" s="152"/>
      <c r="K108" s="152"/>
      <c r="N108" s="27">
        <v>10</v>
      </c>
      <c r="Q108" s="305">
        <v>10</v>
      </c>
      <c r="R108" s="31"/>
      <c r="S108" s="31"/>
      <c r="T108" s="391">
        <v>9</v>
      </c>
      <c r="U108" s="31"/>
      <c r="V108" s="31"/>
      <c r="W108" s="27">
        <f>-W84</f>
        <v>9</v>
      </c>
      <c r="X108" s="31"/>
      <c r="Y108" s="31"/>
      <c r="Z108" s="27">
        <f>-Z84</f>
        <v>8</v>
      </c>
    </row>
    <row r="109" spans="2:27" ht="12.75">
      <c r="B109" t="s">
        <v>75</v>
      </c>
      <c r="E109" s="152">
        <f>667+1170</f>
        <v>1837</v>
      </c>
      <c r="H109" s="152">
        <v>56</v>
      </c>
      <c r="K109" s="152">
        <v>183</v>
      </c>
      <c r="N109" s="31">
        <f>410+97+13+1</f>
        <v>521</v>
      </c>
      <c r="P109" t="s">
        <v>16</v>
      </c>
      <c r="Q109" s="307">
        <v>800</v>
      </c>
      <c r="T109" s="436">
        <v>790</v>
      </c>
      <c r="W109">
        <v>800</v>
      </c>
      <c r="Z109">
        <v>500</v>
      </c>
      <c r="AA109" t="s">
        <v>16</v>
      </c>
    </row>
    <row r="110" spans="2:26" ht="12.75">
      <c r="B110" t="s">
        <v>76</v>
      </c>
      <c r="E110" s="152">
        <v>60</v>
      </c>
      <c r="H110" s="152">
        <v>50</v>
      </c>
      <c r="K110" s="152">
        <v>30</v>
      </c>
      <c r="N110" s="31">
        <v>35</v>
      </c>
      <c r="Q110" s="307">
        <v>30</v>
      </c>
      <c r="T110" s="407">
        <v>35</v>
      </c>
      <c r="W110">
        <v>35</v>
      </c>
      <c r="Z110">
        <v>35</v>
      </c>
    </row>
    <row r="111" spans="2:26" ht="12.75">
      <c r="B111" t="s">
        <v>274</v>
      </c>
      <c r="E111" s="152">
        <v>25</v>
      </c>
      <c r="H111" s="152">
        <v>25</v>
      </c>
      <c r="K111" s="152">
        <v>25</v>
      </c>
      <c r="N111" s="31">
        <v>20</v>
      </c>
      <c r="Q111" s="307">
        <v>25</v>
      </c>
      <c r="T111" s="407">
        <v>20</v>
      </c>
      <c r="W111">
        <v>20</v>
      </c>
      <c r="Z111">
        <v>25</v>
      </c>
    </row>
    <row r="112" spans="2:20" ht="12.75">
      <c r="B112" t="s">
        <v>620</v>
      </c>
      <c r="E112" s="152"/>
      <c r="H112" s="152"/>
      <c r="K112" s="152"/>
      <c r="Q112" s="307"/>
      <c r="T112" s="407">
        <v>143</v>
      </c>
    </row>
    <row r="113" spans="2:26" ht="12.75">
      <c r="B113" t="s">
        <v>619</v>
      </c>
      <c r="E113" s="152"/>
      <c r="H113" s="152"/>
      <c r="K113" s="152"/>
      <c r="Q113" s="307"/>
      <c r="T113" s="407">
        <v>30</v>
      </c>
      <c r="W113">
        <v>30</v>
      </c>
      <c r="Z113">
        <v>30</v>
      </c>
    </row>
    <row r="114" spans="2:26" ht="12.75">
      <c r="B114" t="s">
        <v>494</v>
      </c>
      <c r="E114" s="152"/>
      <c r="H114" s="152"/>
      <c r="K114" s="152"/>
      <c r="Q114" s="307">
        <v>650</v>
      </c>
      <c r="T114" s="436">
        <v>650</v>
      </c>
      <c r="W114">
        <v>650</v>
      </c>
      <c r="Z114">
        <v>650</v>
      </c>
    </row>
    <row r="115" spans="2:20" ht="12.75">
      <c r="B115" t="s">
        <v>615</v>
      </c>
      <c r="E115" s="152"/>
      <c r="H115" s="152"/>
      <c r="K115" s="152"/>
      <c r="Q115" s="307"/>
      <c r="T115" s="407">
        <v>150</v>
      </c>
    </row>
    <row r="116" spans="2:26" ht="12.75">
      <c r="B116" t="s">
        <v>305</v>
      </c>
      <c r="E116" s="152"/>
      <c r="H116" s="152">
        <v>243</v>
      </c>
      <c r="K116" s="152">
        <f>10+75+200+120</f>
        <v>405</v>
      </c>
      <c r="N116" s="31">
        <f>216+279+21</f>
        <v>516</v>
      </c>
      <c r="Q116" s="307">
        <v>0</v>
      </c>
      <c r="T116" s="407">
        <v>0</v>
      </c>
      <c r="W116">
        <v>0</v>
      </c>
      <c r="Z116">
        <v>0</v>
      </c>
    </row>
    <row r="117" spans="2:26" ht="12.75">
      <c r="B117" t="s">
        <v>77</v>
      </c>
      <c r="E117" s="152">
        <v>430</v>
      </c>
      <c r="H117" s="152">
        <v>450</v>
      </c>
      <c r="K117" s="152">
        <v>525</v>
      </c>
      <c r="N117" s="31">
        <v>380</v>
      </c>
      <c r="P117" t="s">
        <v>16</v>
      </c>
      <c r="Q117" s="307">
        <v>320</v>
      </c>
      <c r="T117" s="407">
        <v>380</v>
      </c>
      <c r="W117">
        <v>430</v>
      </c>
      <c r="Z117">
        <f>W117</f>
        <v>430</v>
      </c>
    </row>
    <row r="118" spans="1:26" ht="12.75">
      <c r="A118" t="s">
        <v>96</v>
      </c>
      <c r="E118" s="153">
        <f>SUM(E104:E117)</f>
        <v>2752</v>
      </c>
      <c r="F118" s="23"/>
      <c r="H118" s="153">
        <f>SUM(H104:H117)</f>
        <v>1024</v>
      </c>
      <c r="I118" s="38"/>
      <c r="K118" s="153">
        <f>SUM(K104:K117)</f>
        <v>1351</v>
      </c>
      <c r="L118" s="23"/>
      <c r="N118" s="395">
        <f>SUM(N104:N117)</f>
        <v>1812</v>
      </c>
      <c r="O118" s="23"/>
      <c r="Q118" s="400">
        <f>SUM(Q104:Q117)</f>
        <v>2170</v>
      </c>
      <c r="R118" s="23"/>
      <c r="T118" s="414">
        <f>SUM(T104:T117)</f>
        <v>2577</v>
      </c>
      <c r="W118" s="20">
        <f>SUM(W104:W117)</f>
        <v>2344</v>
      </c>
      <c r="Z118" s="20">
        <f>SUM(Z104:Z117)</f>
        <v>2048</v>
      </c>
    </row>
    <row r="119" spans="5:26" ht="9" customHeight="1">
      <c r="E119" s="23"/>
      <c r="F119" s="23"/>
      <c r="H119" s="38"/>
      <c r="I119" s="38"/>
      <c r="K119" s="23"/>
      <c r="L119" s="23"/>
      <c r="N119" s="38"/>
      <c r="O119" s="23"/>
      <c r="Q119" s="307"/>
      <c r="R119" s="23"/>
      <c r="T119" s="417"/>
      <c r="W119" s="23"/>
      <c r="Z119" s="23"/>
    </row>
    <row r="120" spans="1:26" ht="12.75">
      <c r="A120" t="s">
        <v>532</v>
      </c>
      <c r="E120" s="23"/>
      <c r="F120" s="23"/>
      <c r="H120" s="38"/>
      <c r="I120" s="38"/>
      <c r="K120" s="23"/>
      <c r="L120" s="23"/>
      <c r="N120" s="38"/>
      <c r="O120" s="23"/>
      <c r="Q120" s="307"/>
      <c r="R120" s="23"/>
      <c r="T120" s="417"/>
      <c r="W120" s="23"/>
      <c r="Z120" s="23"/>
    </row>
    <row r="121" spans="1:26" ht="12.75">
      <c r="A121" t="s">
        <v>493</v>
      </c>
      <c r="E121" s="23"/>
      <c r="F121" s="23"/>
      <c r="H121" s="38"/>
      <c r="I121" s="38"/>
      <c r="K121" s="23"/>
      <c r="L121" s="23"/>
      <c r="N121" s="38"/>
      <c r="O121" s="23"/>
      <c r="Q121" s="307"/>
      <c r="R121" s="23"/>
      <c r="T121" s="417"/>
      <c r="W121" s="23"/>
      <c r="Z121" s="23"/>
    </row>
    <row r="122" spans="5:26" ht="7.5" customHeight="1">
      <c r="E122" s="23"/>
      <c r="F122" s="23"/>
      <c r="H122" s="38"/>
      <c r="I122" s="38"/>
      <c r="K122" s="23"/>
      <c r="L122" s="23"/>
      <c r="N122" s="38"/>
      <c r="O122" s="23"/>
      <c r="Q122" s="307"/>
      <c r="R122" s="23"/>
      <c r="T122" s="417"/>
      <c r="W122" s="23"/>
      <c r="Z122" s="23"/>
    </row>
    <row r="123" spans="1:17" ht="12.75">
      <c r="A123" t="s">
        <v>284</v>
      </c>
      <c r="Q123" s="307"/>
    </row>
    <row r="124" spans="2:27" ht="12.75">
      <c r="B124" t="s">
        <v>45</v>
      </c>
      <c r="E124" s="152">
        <v>507</v>
      </c>
      <c r="H124" s="152">
        <v>587</v>
      </c>
      <c r="K124" s="152">
        <v>519</v>
      </c>
      <c r="N124" s="31">
        <v>703</v>
      </c>
      <c r="Q124" s="307">
        <v>764</v>
      </c>
      <c r="S124" s="7">
        <f>SUM(T124/Q124)-1</f>
        <v>0.37303664921465973</v>
      </c>
      <c r="T124" s="411">
        <v>1049</v>
      </c>
      <c r="U124" s="31"/>
      <c r="V124" s="31"/>
      <c r="W124" s="31"/>
      <c r="X124" s="31"/>
      <c r="Y124" s="31"/>
      <c r="Z124" s="31"/>
      <c r="AA124" s="31"/>
    </row>
    <row r="125" spans="2:27" ht="12.75">
      <c r="B125" t="s">
        <v>46</v>
      </c>
      <c r="E125" s="152">
        <v>385</v>
      </c>
      <c r="H125" s="152">
        <v>388</v>
      </c>
      <c r="K125" s="152">
        <v>364</v>
      </c>
      <c r="N125" s="31">
        <v>335</v>
      </c>
      <c r="Q125" s="307">
        <v>442</v>
      </c>
      <c r="S125" s="7">
        <f aca="true" t="shared" si="3" ref="S125:S132">SUM(T125/Q125)-1</f>
        <v>0.08597285067873295</v>
      </c>
      <c r="T125" s="411">
        <v>480</v>
      </c>
      <c r="U125" s="31"/>
      <c r="V125" s="31"/>
      <c r="W125" s="31"/>
      <c r="X125" s="31"/>
      <c r="Y125" s="31"/>
      <c r="Z125" s="31"/>
      <c r="AA125" s="31"/>
    </row>
    <row r="126" spans="2:27" ht="12.75">
      <c r="B126" t="s">
        <v>84</v>
      </c>
      <c r="E126" s="152">
        <v>451</v>
      </c>
      <c r="H126" s="152">
        <v>465</v>
      </c>
      <c r="K126" s="152">
        <v>483</v>
      </c>
      <c r="N126" s="31">
        <v>608</v>
      </c>
      <c r="Q126" s="307">
        <f>115+425</f>
        <v>540</v>
      </c>
      <c r="S126" s="7">
        <f t="shared" si="3"/>
        <v>0.22037037037037033</v>
      </c>
      <c r="T126" s="407">
        <v>659</v>
      </c>
      <c r="U126" s="31"/>
      <c r="V126" s="31"/>
      <c r="W126" s="31"/>
      <c r="X126" s="31"/>
      <c r="Y126" s="31"/>
      <c r="Z126" s="31"/>
      <c r="AA126" s="31"/>
    </row>
    <row r="127" spans="2:27" ht="12.75">
      <c r="B127" t="s">
        <v>85</v>
      </c>
      <c r="E127" s="152">
        <v>327</v>
      </c>
      <c r="H127" s="152">
        <v>319</v>
      </c>
      <c r="K127" s="152">
        <v>327</v>
      </c>
      <c r="N127" s="31">
        <v>1624</v>
      </c>
      <c r="P127" t="s">
        <v>138</v>
      </c>
      <c r="Q127" s="307">
        <v>1076</v>
      </c>
      <c r="S127" s="7">
        <f t="shared" si="3"/>
        <v>0.1617100371747211</v>
      </c>
      <c r="T127" s="411">
        <v>1250</v>
      </c>
      <c r="U127" s="31"/>
      <c r="V127" s="31"/>
      <c r="W127" s="31"/>
      <c r="X127" s="31"/>
      <c r="Y127" s="31"/>
      <c r="Z127" s="31"/>
      <c r="AA127" s="31"/>
    </row>
    <row r="128" spans="2:27" ht="12.75">
      <c r="B128" t="s">
        <v>492</v>
      </c>
      <c r="E128" s="152"/>
      <c r="H128" s="152"/>
      <c r="K128" s="152"/>
      <c r="N128" s="31">
        <v>229</v>
      </c>
      <c r="P128" t="s">
        <v>16</v>
      </c>
      <c r="Q128" s="307">
        <v>0</v>
      </c>
      <c r="S128" s="7" t="s">
        <v>16</v>
      </c>
      <c r="T128" s="411" t="s">
        <v>16</v>
      </c>
      <c r="U128" s="31"/>
      <c r="V128" s="31"/>
      <c r="W128" s="31"/>
      <c r="X128" s="31"/>
      <c r="Y128" s="31"/>
      <c r="Z128" s="31"/>
      <c r="AA128" s="31"/>
    </row>
    <row r="129" spans="2:27" ht="12.75">
      <c r="B129" t="s">
        <v>86</v>
      </c>
      <c r="E129" s="152">
        <v>317</v>
      </c>
      <c r="H129" s="152">
        <v>286</v>
      </c>
      <c r="K129" s="152">
        <v>287</v>
      </c>
      <c r="Q129" s="307">
        <v>248</v>
      </c>
      <c r="S129" s="7">
        <f t="shared" si="3"/>
        <v>0.08064516129032251</v>
      </c>
      <c r="T129" s="407">
        <v>268</v>
      </c>
      <c r="U129" s="31"/>
      <c r="V129" s="31"/>
      <c r="W129" s="31"/>
      <c r="X129" s="31"/>
      <c r="Y129" s="31"/>
      <c r="Z129" s="31"/>
      <c r="AA129" s="31"/>
    </row>
    <row r="130" spans="2:27" ht="12.75">
      <c r="B130" t="s">
        <v>87</v>
      </c>
      <c r="E130" s="152">
        <v>260</v>
      </c>
      <c r="H130" s="152">
        <v>259</v>
      </c>
      <c r="K130" s="152">
        <v>297</v>
      </c>
      <c r="Q130" s="307">
        <v>290</v>
      </c>
      <c r="S130" s="7">
        <f t="shared" si="3"/>
        <v>0.14137931034482754</v>
      </c>
      <c r="T130" s="407">
        <v>331</v>
      </c>
      <c r="U130" s="31"/>
      <c r="V130" s="31"/>
      <c r="W130" s="31"/>
      <c r="X130" s="31"/>
      <c r="Y130" s="31"/>
      <c r="Z130" s="31"/>
      <c r="AA130" s="31"/>
    </row>
    <row r="131" spans="2:27" ht="12.75">
      <c r="B131" t="s">
        <v>88</v>
      </c>
      <c r="E131" s="152">
        <v>200</v>
      </c>
      <c r="H131" s="152">
        <v>204</v>
      </c>
      <c r="K131" s="152">
        <v>209</v>
      </c>
      <c r="Q131" s="307"/>
      <c r="S131" s="7" t="s">
        <v>16</v>
      </c>
      <c r="U131" s="31"/>
      <c r="V131" s="31"/>
      <c r="W131" s="31"/>
      <c r="X131" s="31"/>
      <c r="Y131" s="31"/>
      <c r="Z131" s="31"/>
      <c r="AA131" s="31"/>
    </row>
    <row r="132" spans="2:27" ht="12.75">
      <c r="B132" t="s">
        <v>34</v>
      </c>
      <c r="E132" s="152">
        <f>+E133-SUM(E124:E131)</f>
        <v>982</v>
      </c>
      <c r="H132" s="152">
        <v>633</v>
      </c>
      <c r="K132" s="152">
        <v>946</v>
      </c>
      <c r="Q132" s="307">
        <f>960-290</f>
        <v>670</v>
      </c>
      <c r="S132" s="7">
        <f t="shared" si="3"/>
        <v>-0.7223880597014926</v>
      </c>
      <c r="T132" s="407">
        <v>186</v>
      </c>
      <c r="U132" s="31"/>
      <c r="V132" s="31"/>
      <c r="W132" s="31"/>
      <c r="X132" s="31"/>
      <c r="Y132" s="31"/>
      <c r="Z132" s="31"/>
      <c r="AA132" s="31"/>
    </row>
    <row r="133" spans="1:27" ht="12.75">
      <c r="A133" t="s">
        <v>97</v>
      </c>
      <c r="E133" s="153">
        <v>3429</v>
      </c>
      <c r="F133" s="23"/>
      <c r="G133" s="8">
        <f>+(H133-E133)/E133</f>
        <v>-0.08398950131233596</v>
      </c>
      <c r="H133" s="168">
        <f>SUM(H124:H132)</f>
        <v>3141</v>
      </c>
      <c r="I133" s="54"/>
      <c r="J133" s="8">
        <f>+(K133-H133)/H133</f>
        <v>0.09264565425023878</v>
      </c>
      <c r="K133" s="168">
        <f>SUM(K124:K132)</f>
        <v>3432</v>
      </c>
      <c r="L133" s="58"/>
      <c r="M133" s="8">
        <f>+(N133-K133)/K133</f>
        <v>0.019522144522144524</v>
      </c>
      <c r="N133" s="309">
        <f>SUM(N124:N132)</f>
        <v>3499</v>
      </c>
      <c r="O133" s="58"/>
      <c r="P133" s="8">
        <f>+(Q133-N133)/N133</f>
        <v>0.15204344098313805</v>
      </c>
      <c r="Q133" s="309">
        <v>4031</v>
      </c>
      <c r="R133" s="58"/>
      <c r="S133" s="7">
        <f>SUM(T133/Q133)-1</f>
        <v>0.04763086082857848</v>
      </c>
      <c r="T133" s="418">
        <v>4223</v>
      </c>
      <c r="U133" s="31"/>
      <c r="V133" s="41">
        <v>0.05</v>
      </c>
      <c r="W133" s="186">
        <f>+T133+(T133*V133)</f>
        <v>4434.15</v>
      </c>
      <c r="X133" s="31"/>
      <c r="Y133" s="41">
        <v>0.04</v>
      </c>
      <c r="Z133" s="186">
        <f>+W133+(W133*Y133)</f>
        <v>4611.516</v>
      </c>
      <c r="AA133" s="31" t="s">
        <v>16</v>
      </c>
    </row>
    <row r="134" spans="5:27" ht="12.75">
      <c r="E134" s="155"/>
      <c r="F134" s="23"/>
      <c r="G134" s="8"/>
      <c r="H134" s="169"/>
      <c r="I134" s="54"/>
      <c r="J134" s="8"/>
      <c r="K134" s="58"/>
      <c r="L134" s="58"/>
      <c r="M134" s="8"/>
      <c r="N134" s="54"/>
      <c r="O134" s="58"/>
      <c r="P134" s="8"/>
      <c r="Q134" s="308"/>
      <c r="R134" s="58"/>
      <c r="S134" s="8"/>
      <c r="T134" s="419"/>
      <c r="U134" s="31"/>
      <c r="V134" s="41"/>
      <c r="W134" s="54"/>
      <c r="X134" s="31"/>
      <c r="Y134" s="41"/>
      <c r="Z134" s="54"/>
      <c r="AA134" s="31"/>
    </row>
    <row r="135" spans="1:27" ht="12.75">
      <c r="A135" t="s">
        <v>630</v>
      </c>
      <c r="E135" s="155"/>
      <c r="F135" s="23"/>
      <c r="G135" s="8"/>
      <c r="H135" s="169"/>
      <c r="I135" s="54"/>
      <c r="J135" s="8"/>
      <c r="K135" s="58"/>
      <c r="L135" s="58"/>
      <c r="M135" s="8"/>
      <c r="N135" s="54"/>
      <c r="O135" s="58"/>
      <c r="P135" s="8"/>
      <c r="Q135" s="308"/>
      <c r="R135" s="58"/>
      <c r="S135" s="8"/>
      <c r="T135" s="419"/>
      <c r="U135" s="31"/>
      <c r="V135" s="41"/>
      <c r="W135" s="54"/>
      <c r="X135" s="31"/>
      <c r="Y135" s="41"/>
      <c r="Z135" s="54"/>
      <c r="AA135" s="31"/>
    </row>
    <row r="136" spans="5:27" ht="9" customHeight="1">
      <c r="E136" s="152"/>
      <c r="H136" s="170" t="s">
        <v>16</v>
      </c>
      <c r="I136" s="45"/>
      <c r="Q136" s="307"/>
      <c r="U136" s="31"/>
      <c r="V136" s="31"/>
      <c r="W136" s="31"/>
      <c r="X136" s="31"/>
      <c r="Y136" s="31"/>
      <c r="Z136" s="31"/>
      <c r="AA136" s="31"/>
    </row>
    <row r="137" spans="1:27" ht="13.5" customHeight="1">
      <c r="A137" t="s">
        <v>618</v>
      </c>
      <c r="E137" s="152"/>
      <c r="H137" s="170"/>
      <c r="I137" s="45"/>
      <c r="Q137" s="307"/>
      <c r="U137" s="31"/>
      <c r="V137" s="31"/>
      <c r="W137" s="31"/>
      <c r="X137" s="31"/>
      <c r="Y137" s="31"/>
      <c r="Z137" s="31"/>
      <c r="AA137" s="31"/>
    </row>
    <row r="138" spans="5:27" ht="13.5" customHeight="1">
      <c r="E138" s="152"/>
      <c r="H138" s="170"/>
      <c r="I138" s="45"/>
      <c r="K138">
        <v>85040</v>
      </c>
      <c r="N138" s="31">
        <v>241041</v>
      </c>
      <c r="Q138" s="307"/>
      <c r="U138" s="31"/>
      <c r="V138" s="31"/>
      <c r="W138" s="31"/>
      <c r="X138" s="31"/>
      <c r="Y138" s="31"/>
      <c r="Z138" s="31"/>
      <c r="AA138" s="31"/>
    </row>
    <row r="139" spans="5:27" ht="9" customHeight="1">
      <c r="E139" s="152"/>
      <c r="H139" s="170"/>
      <c r="I139" s="45"/>
      <c r="Q139" s="307"/>
      <c r="U139" s="31"/>
      <c r="V139" s="31"/>
      <c r="W139" s="31"/>
      <c r="X139" s="31"/>
      <c r="Y139" s="31"/>
      <c r="Z139" s="31"/>
      <c r="AA139" s="31"/>
    </row>
    <row r="140" spans="1:27" ht="12.75">
      <c r="A140" t="s">
        <v>82</v>
      </c>
      <c r="C140" t="s">
        <v>48</v>
      </c>
      <c r="E140" s="152">
        <v>1393</v>
      </c>
      <c r="G140" t="s">
        <v>40</v>
      </c>
      <c r="H140" s="152">
        <v>1393</v>
      </c>
      <c r="Q140" s="307"/>
      <c r="U140" s="31"/>
      <c r="V140" s="31"/>
      <c r="W140" s="31"/>
      <c r="X140" s="31"/>
      <c r="Y140" s="31"/>
      <c r="Z140" s="31"/>
      <c r="AA140" s="31"/>
    </row>
    <row r="141" spans="3:27" ht="12.75">
      <c r="C141" t="s">
        <v>34</v>
      </c>
      <c r="E141" s="152">
        <v>30</v>
      </c>
      <c r="H141" s="152">
        <v>65</v>
      </c>
      <c r="Q141" s="307"/>
      <c r="U141" s="31"/>
      <c r="V141" s="31"/>
      <c r="W141" s="31"/>
      <c r="X141" s="31"/>
      <c r="Y141" s="31"/>
      <c r="Z141" s="31"/>
      <c r="AA141" s="31"/>
    </row>
    <row r="142" spans="2:27" ht="12.75">
      <c r="B142" t="s">
        <v>58</v>
      </c>
      <c r="E142" s="153">
        <f>+SUM(E140:E141)</f>
        <v>1423</v>
      </c>
      <c r="F142" s="23"/>
      <c r="G142" s="8">
        <v>0.025</v>
      </c>
      <c r="H142" s="168">
        <f>SUM(H140+H141)</f>
        <v>1458</v>
      </c>
      <c r="I142" s="54"/>
      <c r="J142" s="8">
        <f>+(K142-H142)/H142</f>
        <v>-0.0013717421124828531</v>
      </c>
      <c r="K142" s="168">
        <v>1456</v>
      </c>
      <c r="L142" s="58"/>
      <c r="M142" s="8">
        <f>+(N142-K142)/K142</f>
        <v>0.007554945054945055</v>
      </c>
      <c r="N142" s="186">
        <v>1467</v>
      </c>
      <c r="P142" s="8">
        <f>+(Q142-N142)/N142</f>
        <v>-0.03067484662576687</v>
      </c>
      <c r="Q142" s="309">
        <v>1422</v>
      </c>
      <c r="R142" s="58"/>
      <c r="S142" s="8" t="s">
        <v>16</v>
      </c>
      <c r="T142" s="416">
        <v>1476</v>
      </c>
      <c r="U142" s="31"/>
      <c r="V142" s="41">
        <v>0.025</v>
      </c>
      <c r="W142" s="186">
        <f>+T142+(T142*V142)</f>
        <v>1512.9</v>
      </c>
      <c r="X142" s="31"/>
      <c r="Y142" s="41">
        <v>0.01</v>
      </c>
      <c r="Z142" s="186">
        <f>+W142+(W142*Y142)</f>
        <v>1528.029</v>
      </c>
      <c r="AA142" s="31"/>
    </row>
    <row r="143" spans="1:27" ht="12.75">
      <c r="A143" t="s">
        <v>83</v>
      </c>
      <c r="E143" s="152"/>
      <c r="H143" s="152"/>
      <c r="Q143" s="307"/>
      <c r="U143" s="31"/>
      <c r="V143" s="31"/>
      <c r="W143" s="31"/>
      <c r="X143" s="31"/>
      <c r="Y143" s="31"/>
      <c r="Z143" s="31"/>
      <c r="AA143" s="31"/>
    </row>
    <row r="144" spans="2:27" ht="12.75">
      <c r="B144" t="s">
        <v>501</v>
      </c>
      <c r="E144" s="152">
        <v>503</v>
      </c>
      <c r="H144" s="167">
        <f>'FY03 Detail'!$D$65/1000</f>
        <v>538.733</v>
      </c>
      <c r="I144" s="30"/>
      <c r="K144" s="167">
        <f>'FY04 Detail'!$D$68/1000</f>
        <v>557.134</v>
      </c>
      <c r="M144" s="8">
        <f aca="true" t="shared" si="4" ref="M144:M149">+(N144-K144)/K144</f>
        <v>-0.07370758201797063</v>
      </c>
      <c r="N144" s="30">
        <f>'FY05 Detail'!$D$67/1000</f>
        <v>516.069</v>
      </c>
      <c r="P144" s="8">
        <f aca="true" t="shared" si="5" ref="P144:P149">+(Q144-N144)/N144</f>
        <v>0.43964663639939633</v>
      </c>
      <c r="Q144" s="30">
        <f>SUM('FY06 Detail'!$D$67/1000+'FY06 Detail'!E67/1000)</f>
        <v>742.957</v>
      </c>
      <c r="S144" s="8">
        <f aca="true" t="shared" si="6" ref="S144:S149">+(T144-Q144)/Q144</f>
        <v>0.1571181104693811</v>
      </c>
      <c r="T144" s="420">
        <f>SUM('FY07 Voted'!D64+'FY07 Voted'!E64)/1000</f>
        <v>859.689</v>
      </c>
      <c r="U144" s="31"/>
      <c r="V144" s="31"/>
      <c r="W144" s="31"/>
      <c r="X144" s="31"/>
      <c r="Y144" s="31"/>
      <c r="Z144" s="31"/>
      <c r="AA144" s="31"/>
    </row>
    <row r="145" spans="2:27" ht="12.75">
      <c r="B145" t="s">
        <v>108</v>
      </c>
      <c r="E145" s="152">
        <v>1951</v>
      </c>
      <c r="H145" s="167">
        <f>'FY03 Detail'!$E$65/1000</f>
        <v>1869.77</v>
      </c>
      <c r="I145" s="30"/>
      <c r="K145" s="167">
        <f>'FY04 Detail'!$F$68/1000</f>
        <v>1835.885</v>
      </c>
      <c r="M145" s="8">
        <f t="shared" si="4"/>
        <v>0.05661574662901002</v>
      </c>
      <c r="N145" s="30">
        <f>'FY05 Detail'!$F$67/1000</f>
        <v>1939.825</v>
      </c>
      <c r="P145" s="8">
        <f t="shared" si="5"/>
        <v>-0.0055154459809519255</v>
      </c>
      <c r="Q145" s="30">
        <f>'FY06 Detail'!$F$67/1000</f>
        <v>1929.126</v>
      </c>
      <c r="S145" s="8">
        <f t="shared" si="6"/>
        <v>-0.03181492551549251</v>
      </c>
      <c r="T145" s="420">
        <f>'FY07 Voted'!$F$64/1000</f>
        <v>1867.751</v>
      </c>
      <c r="U145" s="31"/>
      <c r="V145" s="31"/>
      <c r="W145" s="31"/>
      <c r="X145" s="31"/>
      <c r="Y145" s="31"/>
      <c r="Z145" s="31"/>
      <c r="AA145" s="31"/>
    </row>
    <row r="146" spans="2:27" ht="12.75">
      <c r="B146" t="s">
        <v>47</v>
      </c>
      <c r="E146" s="152">
        <v>866</v>
      </c>
      <c r="H146" s="167">
        <f>'FY03 Detail'!$F$65/1000</f>
        <v>987.404</v>
      </c>
      <c r="I146" s="30"/>
      <c r="K146" s="167">
        <f>'FY04 Detail'!$G$68/1000</f>
        <v>1001.759</v>
      </c>
      <c r="M146" s="8">
        <f t="shared" si="4"/>
        <v>0.10156135357905445</v>
      </c>
      <c r="N146" s="30">
        <f>'FY05 Detail'!$G$67/1000</f>
        <v>1103.499</v>
      </c>
      <c r="P146" s="8">
        <f t="shared" si="5"/>
        <v>-0.13169835224137047</v>
      </c>
      <c r="Q146" s="30">
        <f>'FY06 Detail'!$G$67/1000</f>
        <v>958.17</v>
      </c>
      <c r="S146" s="8">
        <f t="shared" si="6"/>
        <v>0.00917060646858077</v>
      </c>
      <c r="T146" s="420">
        <f>'FY07 Voted'!$G$64/1000</f>
        <v>966.957</v>
      </c>
      <c r="U146" s="31"/>
      <c r="V146" s="31"/>
      <c r="W146" s="31"/>
      <c r="X146" s="31"/>
      <c r="Y146" s="31"/>
      <c r="Z146" s="31"/>
      <c r="AA146" s="31"/>
    </row>
    <row r="147" spans="2:27" ht="12.75">
      <c r="B147" t="s">
        <v>123</v>
      </c>
      <c r="E147" s="152">
        <v>113</v>
      </c>
      <c r="H147" s="167">
        <f>'FY03 Detail'!$G$65/1000</f>
        <v>111.992</v>
      </c>
      <c r="I147" s="30"/>
      <c r="K147" s="167">
        <f>'FY04 Detail'!$H$68/1000</f>
        <v>79.671</v>
      </c>
      <c r="M147" s="8">
        <f t="shared" si="4"/>
        <v>-0.8292979879755495</v>
      </c>
      <c r="N147" s="30">
        <f>'FY05 Detail'!$H$67/1000</f>
        <v>13.6</v>
      </c>
      <c r="P147" s="8">
        <f t="shared" si="5"/>
        <v>9.959558823529413</v>
      </c>
      <c r="Q147" s="30">
        <f>'FY06 Detail'!$H$67/1000</f>
        <v>149.05</v>
      </c>
      <c r="S147" s="8">
        <f t="shared" si="6"/>
        <v>1.7550395169406239</v>
      </c>
      <c r="T147" s="420">
        <f>'FY07 Voted'!$H$64/1000</f>
        <v>410.63864</v>
      </c>
      <c r="U147" s="31"/>
      <c r="V147" s="31"/>
      <c r="W147" s="31"/>
      <c r="X147" s="31"/>
      <c r="Y147" s="31"/>
      <c r="Z147" s="31"/>
      <c r="AA147" s="31"/>
    </row>
    <row r="148" spans="2:27" ht="12.75">
      <c r="B148" t="s">
        <v>209</v>
      </c>
      <c r="E148" s="152">
        <v>249</v>
      </c>
      <c r="H148" s="167">
        <f>'FY03 Detail'!$H$65/1000</f>
        <v>306.887</v>
      </c>
      <c r="I148" s="30"/>
      <c r="K148" s="167">
        <f>'FY04 Detail'!$I$68/1000</f>
        <v>320.033</v>
      </c>
      <c r="M148" s="8">
        <f t="shared" si="4"/>
        <v>0.12678067574281404</v>
      </c>
      <c r="N148" s="30">
        <f>'FY05 Detail'!$I$67/1000</f>
        <v>360.607</v>
      </c>
      <c r="P148" s="404">
        <f t="shared" si="5"/>
        <v>0.13285931776144103</v>
      </c>
      <c r="Q148" s="30">
        <f>'FY06 Detail'!$I$67/1000</f>
        <v>408.517</v>
      </c>
      <c r="S148" s="404">
        <f t="shared" si="6"/>
        <v>-0.0005605641870472587</v>
      </c>
      <c r="T148" s="420">
        <f>'FY07 Voted'!$I$64/1000</f>
        <v>408.288</v>
      </c>
      <c r="U148" s="31"/>
      <c r="V148" s="31"/>
      <c r="W148" s="31"/>
      <c r="X148" s="31"/>
      <c r="Y148" s="31"/>
      <c r="Z148" s="31"/>
      <c r="AA148" s="31"/>
    </row>
    <row r="149" spans="1:27" ht="12.75">
      <c r="A149" t="s">
        <v>98</v>
      </c>
      <c r="E149" s="153">
        <f>SUM(E144:E148)</f>
        <v>3682</v>
      </c>
      <c r="F149" s="23"/>
      <c r="G149" s="7"/>
      <c r="H149" s="168">
        <f>SUM(H144:H148)</f>
        <v>3814.786</v>
      </c>
      <c r="I149" s="54"/>
      <c r="J149" s="7" t="s">
        <v>16</v>
      </c>
      <c r="K149" s="168">
        <f>SUM(K144:K148)</f>
        <v>3794.482</v>
      </c>
      <c r="L149" s="58"/>
      <c r="M149" s="8">
        <f t="shared" si="4"/>
        <v>0.03666323888214516</v>
      </c>
      <c r="N149" s="186">
        <f>SUM(N144:N148)</f>
        <v>3933.6</v>
      </c>
      <c r="O149" s="58"/>
      <c r="P149" s="8">
        <f t="shared" si="5"/>
        <v>0.06462782184258713</v>
      </c>
      <c r="Q149" s="186">
        <f>SUM(Q144:Q148)</f>
        <v>4187.820000000001</v>
      </c>
      <c r="R149" s="58"/>
      <c r="S149" s="8">
        <f t="shared" si="6"/>
        <v>0.0777262728579547</v>
      </c>
      <c r="T149" s="421">
        <f>SUM(T144:T148)</f>
        <v>4513.3236400000005</v>
      </c>
      <c r="U149" s="31"/>
      <c r="V149" s="40">
        <v>0.05</v>
      </c>
      <c r="W149" s="186">
        <f>+T149+(T149*V149)</f>
        <v>4738.9898220000005</v>
      </c>
      <c r="X149" s="31"/>
      <c r="Y149" s="40">
        <v>0.04</v>
      </c>
      <c r="Z149" s="186">
        <f>+W149+(W149*Y149)</f>
        <v>4928.549414880001</v>
      </c>
      <c r="AA149" s="31" t="s">
        <v>533</v>
      </c>
    </row>
    <row r="150" spans="5:27" ht="12.75">
      <c r="E150" s="152"/>
      <c r="H150" s="152"/>
      <c r="Q150" s="307"/>
      <c r="U150" s="31"/>
      <c r="V150" s="31"/>
      <c r="W150" s="31"/>
      <c r="X150" s="31"/>
      <c r="Y150" s="31"/>
      <c r="Z150" s="31"/>
      <c r="AA150" s="31"/>
    </row>
    <row r="151" spans="1:27" ht="12.75">
      <c r="A151" t="s">
        <v>90</v>
      </c>
      <c r="E151" s="152"/>
      <c r="H151" s="152"/>
      <c r="Q151" s="307"/>
      <c r="U151" s="31"/>
      <c r="V151" s="31"/>
      <c r="W151" s="31"/>
      <c r="X151" s="31"/>
      <c r="Y151" s="31"/>
      <c r="Z151" s="31"/>
      <c r="AA151" s="31"/>
    </row>
    <row r="152" spans="2:27" ht="12.75">
      <c r="B152" t="s">
        <v>49</v>
      </c>
      <c r="E152" s="152">
        <v>1188</v>
      </c>
      <c r="H152" s="152">
        <v>1203</v>
      </c>
      <c r="K152" s="152">
        <v>1181</v>
      </c>
      <c r="L152" s="31"/>
      <c r="M152" s="31"/>
      <c r="N152" s="30">
        <v>1395</v>
      </c>
      <c r="O152" s="30"/>
      <c r="P152" s="30"/>
      <c r="Q152" s="308">
        <f>SUM('Solid Waste '!F8:F10)/1000</f>
        <v>703.53</v>
      </c>
      <c r="R152" s="30"/>
      <c r="S152" s="30"/>
      <c r="T152" s="415">
        <v>714</v>
      </c>
      <c r="U152" s="30"/>
      <c r="V152" s="30"/>
      <c r="W152" s="30">
        <f>SUM('Solid Waste '!H8:H10)/1000</f>
        <v>762.75</v>
      </c>
      <c r="X152" s="30"/>
      <c r="Y152" s="30"/>
      <c r="Z152" s="30">
        <f>SUM('Solid Waste '!I8:I10)/1000</f>
        <v>783.75</v>
      </c>
      <c r="AA152" s="31"/>
    </row>
    <row r="153" spans="2:27" ht="12.75">
      <c r="B153" t="s">
        <v>50</v>
      </c>
      <c r="E153" s="152">
        <f>1365+11</f>
        <v>1376</v>
      </c>
      <c r="H153" s="152">
        <v>1406</v>
      </c>
      <c r="K153" s="152">
        <v>1445</v>
      </c>
      <c r="L153" s="31"/>
      <c r="M153" s="31"/>
      <c r="N153" s="30">
        <v>1222</v>
      </c>
      <c r="O153" s="30"/>
      <c r="P153" s="184">
        <v>0.05</v>
      </c>
      <c r="Q153" s="308">
        <f>SUM('Solid Waste '!F5:F7)/1000</f>
        <v>1519.98</v>
      </c>
      <c r="R153" s="30"/>
      <c r="S153" s="184">
        <v>0.05</v>
      </c>
      <c r="T153" s="415">
        <v>1557</v>
      </c>
      <c r="U153" s="30"/>
      <c r="V153" s="184">
        <v>0.05</v>
      </c>
      <c r="W153" s="30">
        <f>SUM('Solid Waste '!H5:H7)/1000</f>
        <v>1588.02</v>
      </c>
      <c r="X153" s="30"/>
      <c r="Y153" s="184">
        <v>0.05</v>
      </c>
      <c r="Z153" s="30">
        <f>SUM('Solid Waste '!I5:I7)/1000</f>
        <v>1635.6</v>
      </c>
      <c r="AA153" s="31" t="s">
        <v>534</v>
      </c>
    </row>
    <row r="154" spans="2:27" ht="12.75">
      <c r="B154" t="s">
        <v>94</v>
      </c>
      <c r="E154" s="153">
        <f>+E152+E153</f>
        <v>2564</v>
      </c>
      <c r="F154" s="23"/>
      <c r="G154" s="8">
        <f>+(H154-E154)/E154</f>
        <v>0.017550702028081122</v>
      </c>
      <c r="H154" s="153">
        <f>+H152+H153</f>
        <v>2609</v>
      </c>
      <c r="I154" s="38"/>
      <c r="J154" s="8">
        <f>+(K154-H154)/H154</f>
        <v>0.006515906477577616</v>
      </c>
      <c r="K154" s="153">
        <f>+K152+K153</f>
        <v>2626</v>
      </c>
      <c r="L154" s="38"/>
      <c r="M154" s="41">
        <f>+(N154-K154)/K154</f>
        <v>-0.003427265803503427</v>
      </c>
      <c r="N154" s="186">
        <f>SUM(N152:N153)</f>
        <v>2617</v>
      </c>
      <c r="O154" s="54"/>
      <c r="P154" s="30" t="s">
        <v>16</v>
      </c>
      <c r="Q154" s="309">
        <f>SUM(Q152:Q153)</f>
        <v>2223.51</v>
      </c>
      <c r="R154" s="54"/>
      <c r="S154" s="30" t="s">
        <v>16</v>
      </c>
      <c r="T154" s="416">
        <v>2271</v>
      </c>
      <c r="U154" s="30"/>
      <c r="V154" s="30" t="s">
        <v>16</v>
      </c>
      <c r="W154" s="186">
        <f>SUM(W152:W153)</f>
        <v>2350.77</v>
      </c>
      <c r="X154" s="30"/>
      <c r="Y154" s="30" t="s">
        <v>16</v>
      </c>
      <c r="Z154" s="186">
        <f>SUM(Z152:Z153)</f>
        <v>2419.35</v>
      </c>
      <c r="AA154" s="31"/>
    </row>
    <row r="155" spans="5:27" ht="12.75">
      <c r="E155" s="155"/>
      <c r="F155" s="23"/>
      <c r="G155" s="8"/>
      <c r="H155" s="155"/>
      <c r="I155" s="38"/>
      <c r="J155" s="8"/>
      <c r="K155" s="155"/>
      <c r="L155" s="38"/>
      <c r="M155" s="41"/>
      <c r="N155" s="54"/>
      <c r="O155" s="54"/>
      <c r="P155" s="30"/>
      <c r="Q155" s="308"/>
      <c r="R155" s="54"/>
      <c r="S155" s="30"/>
      <c r="T155" s="419"/>
      <c r="U155" s="30"/>
      <c r="V155" s="30"/>
      <c r="W155" s="54"/>
      <c r="X155" s="30"/>
      <c r="Y155" s="30"/>
      <c r="Z155" s="54"/>
      <c r="AA155" s="31"/>
    </row>
    <row r="156" spans="1:27" ht="12.75">
      <c r="A156" t="s">
        <v>496</v>
      </c>
      <c r="E156" s="155"/>
      <c r="F156" s="23"/>
      <c r="G156" s="8"/>
      <c r="H156" s="155"/>
      <c r="I156" s="38"/>
      <c r="J156" s="8"/>
      <c r="K156" s="155"/>
      <c r="L156" s="38"/>
      <c r="M156" s="41"/>
      <c r="N156" s="54"/>
      <c r="O156" s="54"/>
      <c r="P156" s="30"/>
      <c r="Q156" s="308"/>
      <c r="R156" s="54"/>
      <c r="S156" s="30"/>
      <c r="T156" s="419"/>
      <c r="U156" s="30"/>
      <c r="V156" s="30"/>
      <c r="W156" s="54"/>
      <c r="X156" s="30"/>
      <c r="Y156" s="30"/>
      <c r="Z156" s="54"/>
      <c r="AA156" s="31"/>
    </row>
    <row r="157" spans="2:27" ht="12.75">
      <c r="B157" t="s">
        <v>497</v>
      </c>
      <c r="E157" s="155"/>
      <c r="F157" s="23"/>
      <c r="G157" s="8"/>
      <c r="H157" s="155"/>
      <c r="I157" s="38"/>
      <c r="J157" s="8"/>
      <c r="K157" s="155"/>
      <c r="L157" s="38"/>
      <c r="M157" s="41"/>
      <c r="N157" s="54"/>
      <c r="O157" s="54"/>
      <c r="P157" s="30"/>
      <c r="Q157" s="308"/>
      <c r="R157" s="54"/>
      <c r="S157" s="30">
        <v>0</v>
      </c>
      <c r="T157" s="419">
        <v>0</v>
      </c>
      <c r="U157" s="30"/>
      <c r="V157" s="30"/>
      <c r="W157" s="54">
        <v>0</v>
      </c>
      <c r="X157" s="30"/>
      <c r="Y157" s="30"/>
      <c r="Z157" s="54">
        <v>0</v>
      </c>
      <c r="AA157" s="31" t="s">
        <v>535</v>
      </c>
    </row>
    <row r="158" spans="2:27" s="19" customFormat="1" ht="12.75">
      <c r="B158" s="19" t="s">
        <v>498</v>
      </c>
      <c r="E158" s="156" t="s">
        <v>16</v>
      </c>
      <c r="F158" s="59"/>
      <c r="G158" s="59"/>
      <c r="H158" s="156" t="s">
        <v>16</v>
      </c>
      <c r="I158" s="60"/>
      <c r="J158" s="59"/>
      <c r="K158" s="61" t="s">
        <v>16</v>
      </c>
      <c r="L158" s="61"/>
      <c r="M158" s="59"/>
      <c r="N158" s="60" t="s">
        <v>16</v>
      </c>
      <c r="O158" s="59"/>
      <c r="P158" s="59"/>
      <c r="Q158" s="310" t="s">
        <v>16</v>
      </c>
      <c r="R158" s="60"/>
      <c r="S158" s="60">
        <v>0</v>
      </c>
      <c r="T158" s="422">
        <v>0</v>
      </c>
      <c r="U158" s="36"/>
      <c r="V158" s="60"/>
      <c r="W158" s="34">
        <v>0</v>
      </c>
      <c r="X158" s="36"/>
      <c r="Y158" s="60"/>
      <c r="Z158" s="34">
        <v>0</v>
      </c>
      <c r="AA158" s="36" t="s">
        <v>535</v>
      </c>
    </row>
    <row r="159" spans="5:27" s="19" customFormat="1" ht="12.75">
      <c r="E159" s="156"/>
      <c r="F159" s="59"/>
      <c r="G159" s="59"/>
      <c r="H159" s="156"/>
      <c r="I159" s="60"/>
      <c r="J159" s="59"/>
      <c r="K159" s="61"/>
      <c r="L159" s="61"/>
      <c r="M159" s="59"/>
      <c r="N159" s="60"/>
      <c r="O159" s="59"/>
      <c r="P159" s="59"/>
      <c r="Q159" s="310"/>
      <c r="R159" s="60"/>
      <c r="S159" s="60"/>
      <c r="T159" s="419">
        <f>SUM(T157:T158)</f>
        <v>0</v>
      </c>
      <c r="U159" s="36"/>
      <c r="V159" s="60"/>
      <c r="W159" s="354">
        <f>SUM(W157:W158)</f>
        <v>0</v>
      </c>
      <c r="X159" s="36"/>
      <c r="Y159" s="60"/>
      <c r="Z159" s="354">
        <f>SUM(Z157:Z158)</f>
        <v>0</v>
      </c>
      <c r="AA159" s="36"/>
    </row>
    <row r="160" spans="1:27" ht="12.75">
      <c r="A160" t="s">
        <v>109</v>
      </c>
      <c r="E160" s="152"/>
      <c r="H160" s="152"/>
      <c r="Q160" s="307"/>
      <c r="R160" s="31"/>
      <c r="S160" s="31"/>
      <c r="U160" s="31"/>
      <c r="V160" s="31"/>
      <c r="W160" s="31"/>
      <c r="X160" s="31"/>
      <c r="Y160" s="31"/>
      <c r="Z160" s="31"/>
      <c r="AA160" s="31"/>
    </row>
    <row r="161" spans="2:27" ht="12.75">
      <c r="B161" t="s">
        <v>14</v>
      </c>
      <c r="E161" s="46">
        <v>4772</v>
      </c>
      <c r="F161" s="4"/>
      <c r="G161" s="8">
        <v>0.035</v>
      </c>
      <c r="H161" s="46">
        <v>4963</v>
      </c>
      <c r="I161" s="27"/>
      <c r="J161" s="8">
        <f>+(K161-H161)/H161</f>
        <v>0.17287930687084424</v>
      </c>
      <c r="K161" s="46">
        <v>5821</v>
      </c>
      <c r="L161" s="4"/>
      <c r="M161" s="8">
        <f>+(N161-K161)/K161</f>
        <v>0.011166466242913588</v>
      </c>
      <c r="N161" s="27">
        <v>5886</v>
      </c>
      <c r="O161" s="4"/>
      <c r="P161" s="8">
        <f>+(Q161-N161)/N161</f>
        <v>0.012232415902140673</v>
      </c>
      <c r="Q161" s="305">
        <v>5958</v>
      </c>
      <c r="R161" s="27"/>
      <c r="S161" s="41" t="s">
        <v>16</v>
      </c>
      <c r="T161" s="391">
        <f>5424.606+179.347</f>
        <v>5603.9529999999995</v>
      </c>
      <c r="U161" s="31"/>
      <c r="V161" s="41">
        <v>0.035</v>
      </c>
      <c r="W161" s="27">
        <f>+T161*(1+V161)</f>
        <v>5800.091354999999</v>
      </c>
      <c r="X161" s="31"/>
      <c r="Y161" s="41">
        <v>0.035</v>
      </c>
      <c r="Z161" s="27">
        <f>+W161*(1+Y161)</f>
        <v>6003.094552424998</v>
      </c>
      <c r="AA161" s="31"/>
    </row>
    <row r="162" spans="2:27" ht="12.75">
      <c r="B162" t="s">
        <v>15</v>
      </c>
      <c r="E162" s="46">
        <v>3709</v>
      </c>
      <c r="F162" s="4"/>
      <c r="G162" s="8">
        <v>0.08</v>
      </c>
      <c r="H162" s="46">
        <v>3878</v>
      </c>
      <c r="I162" s="27"/>
      <c r="J162" s="8">
        <f>+(K162-H162)/H162</f>
        <v>-0.07555440948942754</v>
      </c>
      <c r="K162" s="46">
        <v>3585</v>
      </c>
      <c r="L162" s="4"/>
      <c r="M162" s="8">
        <f>+(N162-K162)/K162</f>
        <v>0.060529986052998606</v>
      </c>
      <c r="N162" s="27">
        <v>3802</v>
      </c>
      <c r="O162" s="4"/>
      <c r="P162" s="8">
        <f>+(Q162-N162)/N162</f>
        <v>0.13466596528143082</v>
      </c>
      <c r="Q162" s="305">
        <f>4059+255</f>
        <v>4314</v>
      </c>
      <c r="R162" s="27"/>
      <c r="S162" s="41" t="s">
        <v>16</v>
      </c>
      <c r="T162" s="391">
        <v>4526</v>
      </c>
      <c r="U162" s="31"/>
      <c r="V162" s="41">
        <v>0.08</v>
      </c>
      <c r="W162" s="27">
        <f>+T162*(1+V162)</f>
        <v>4888.08</v>
      </c>
      <c r="X162" s="31"/>
      <c r="Y162" s="41">
        <v>0.08</v>
      </c>
      <c r="Z162" s="27">
        <f>+W162*(1+Y162)</f>
        <v>5279.1264</v>
      </c>
      <c r="AA162" s="31"/>
    </row>
    <row r="163" spans="2:27" ht="12.75">
      <c r="B163" t="s">
        <v>44</v>
      </c>
      <c r="E163" s="157">
        <v>272</v>
      </c>
      <c r="F163" s="24"/>
      <c r="G163" s="9">
        <v>0</v>
      </c>
      <c r="H163" s="157">
        <v>136</v>
      </c>
      <c r="I163" s="10"/>
      <c r="J163" s="8">
        <f>+(K163-H163)/H163</f>
        <v>-0.014705882352941176</v>
      </c>
      <c r="K163" s="157">
        <v>134</v>
      </c>
      <c r="L163" s="24"/>
      <c r="M163" s="8">
        <v>0</v>
      </c>
      <c r="N163" s="28">
        <v>269</v>
      </c>
      <c r="O163" s="24"/>
      <c r="P163" s="8">
        <v>0</v>
      </c>
      <c r="Q163" s="306">
        <v>324</v>
      </c>
      <c r="R163" s="10"/>
      <c r="S163" s="187">
        <v>0</v>
      </c>
      <c r="T163" s="408">
        <v>324</v>
      </c>
      <c r="U163" s="31"/>
      <c r="V163" s="187">
        <v>0</v>
      </c>
      <c r="W163" s="28">
        <f>+T163*(1+V163)</f>
        <v>324</v>
      </c>
      <c r="X163" s="31"/>
      <c r="Y163" s="187">
        <v>0</v>
      </c>
      <c r="Z163" s="28">
        <f>+W163*(1+Y163)</f>
        <v>324</v>
      </c>
      <c r="AA163" s="31"/>
    </row>
    <row r="164" spans="1:27" ht="12.75">
      <c r="A164" t="s">
        <v>17</v>
      </c>
      <c r="E164" s="46">
        <f>+E161+E162+E163</f>
        <v>8753</v>
      </c>
      <c r="F164" s="4"/>
      <c r="G164" s="8"/>
      <c r="H164" s="46">
        <f>+H161+H162+H163</f>
        <v>8977</v>
      </c>
      <c r="I164" s="27"/>
      <c r="J164" s="8"/>
      <c r="K164" s="46">
        <f>+K161+K162+K163</f>
        <v>9540</v>
      </c>
      <c r="L164" s="4"/>
      <c r="M164" s="8"/>
      <c r="N164" s="27">
        <f>+N161+N162+N163</f>
        <v>9957</v>
      </c>
      <c r="O164" s="4"/>
      <c r="P164" s="8"/>
      <c r="Q164" s="305">
        <f>+Q161+Q162+Q163</f>
        <v>10596</v>
      </c>
      <c r="R164" s="27"/>
      <c r="S164" s="41"/>
      <c r="T164" s="391">
        <f>+T161+T162+T163</f>
        <v>10453.953</v>
      </c>
      <c r="U164" s="31"/>
      <c r="V164" s="41"/>
      <c r="W164" s="27">
        <f>+W161+W162+W163</f>
        <v>11012.171354999999</v>
      </c>
      <c r="X164" s="31"/>
      <c r="Y164" s="41"/>
      <c r="Z164" s="27">
        <f>+Z161+Z162+Z163</f>
        <v>11606.220952425</v>
      </c>
      <c r="AA164" s="31"/>
    </row>
    <row r="165" spans="5:27" ht="12.75">
      <c r="E165" s="46"/>
      <c r="F165" s="4"/>
      <c r="G165" s="8"/>
      <c r="H165" s="46"/>
      <c r="I165" s="27"/>
      <c r="J165" s="8"/>
      <c r="K165" s="46"/>
      <c r="L165" s="4"/>
      <c r="M165" s="8"/>
      <c r="N165" s="27"/>
      <c r="O165" s="4"/>
      <c r="P165" s="8"/>
      <c r="Q165" s="305"/>
      <c r="R165" s="27"/>
      <c r="S165" s="41"/>
      <c r="T165" s="391"/>
      <c r="U165" s="31"/>
      <c r="V165" s="41"/>
      <c r="W165" s="27"/>
      <c r="X165" s="31"/>
      <c r="Y165" s="41"/>
      <c r="Z165" s="27"/>
      <c r="AA165" s="31"/>
    </row>
    <row r="166" spans="1:27" ht="12.75">
      <c r="A166" t="s">
        <v>110</v>
      </c>
      <c r="E166" s="152"/>
      <c r="H166" s="152"/>
      <c r="K166" s="152"/>
      <c r="Q166" s="307"/>
      <c r="R166" s="31"/>
      <c r="S166" s="31"/>
      <c r="U166" s="31"/>
      <c r="V166" s="31"/>
      <c r="W166" s="31"/>
      <c r="X166" s="31"/>
      <c r="Y166" s="31"/>
      <c r="Z166" s="31"/>
      <c r="AA166" s="31"/>
    </row>
    <row r="167" spans="1:27" ht="12.75">
      <c r="A167" t="s">
        <v>37</v>
      </c>
      <c r="B167" t="s">
        <v>14</v>
      </c>
      <c r="E167" s="46">
        <f>+E161</f>
        <v>4772</v>
      </c>
      <c r="F167" s="4"/>
      <c r="H167" s="46">
        <f>+H161</f>
        <v>4963</v>
      </c>
      <c r="I167" s="27"/>
      <c r="K167" s="46">
        <f>+K161</f>
        <v>5821</v>
      </c>
      <c r="L167" s="4"/>
      <c r="N167" s="27">
        <f>+N161</f>
        <v>5886</v>
      </c>
      <c r="O167" s="4"/>
      <c r="Q167" s="305">
        <f>+Q161</f>
        <v>5958</v>
      </c>
      <c r="R167" s="27"/>
      <c r="S167" s="31"/>
      <c r="T167" s="391">
        <f>5424.606+179.347</f>
        <v>5603.9529999999995</v>
      </c>
      <c r="U167" s="31"/>
      <c r="V167" s="31"/>
      <c r="W167" s="27">
        <f>+W161</f>
        <v>5800.091354999999</v>
      </c>
      <c r="X167" s="31"/>
      <c r="Y167" s="31"/>
      <c r="Z167" s="27">
        <f>+Z161</f>
        <v>6003.094552424998</v>
      </c>
      <c r="AA167" s="31"/>
    </row>
    <row r="168" spans="2:27" ht="12.75">
      <c r="B168" t="s">
        <v>15</v>
      </c>
      <c r="E168" s="46">
        <f>+E162</f>
        <v>3709</v>
      </c>
      <c r="F168" s="4"/>
      <c r="H168" s="46">
        <f>+H162</f>
        <v>3878</v>
      </c>
      <c r="I168" s="27"/>
      <c r="K168" s="46">
        <f>+K162</f>
        <v>3585</v>
      </c>
      <c r="L168" s="4"/>
      <c r="N168" s="27">
        <f>+N162</f>
        <v>3802</v>
      </c>
      <c r="O168" s="4"/>
      <c r="Q168" s="305">
        <f>+Q162</f>
        <v>4314</v>
      </c>
      <c r="R168" s="27"/>
      <c r="S168" s="31"/>
      <c r="T168" s="391">
        <v>4526</v>
      </c>
      <c r="U168" s="31"/>
      <c r="V168" s="31"/>
      <c r="W168" s="27">
        <f>+W162</f>
        <v>4888.08</v>
      </c>
      <c r="X168" s="31"/>
      <c r="Y168" s="31"/>
      <c r="Z168" s="27">
        <f>+Z162</f>
        <v>5279.1264</v>
      </c>
      <c r="AA168" s="31"/>
    </row>
    <row r="169" spans="2:27" ht="12.75">
      <c r="B169" t="s">
        <v>44</v>
      </c>
      <c r="E169" s="157">
        <f>+E163</f>
        <v>272</v>
      </c>
      <c r="F169" s="24"/>
      <c r="H169" s="46">
        <f>+H163</f>
        <v>136</v>
      </c>
      <c r="I169" s="27"/>
      <c r="K169" s="157">
        <f>+K163</f>
        <v>134</v>
      </c>
      <c r="L169" s="24"/>
      <c r="N169" s="28">
        <f>+N163</f>
        <v>269</v>
      </c>
      <c r="O169" s="24"/>
      <c r="Q169" s="306">
        <f>+Q163</f>
        <v>324</v>
      </c>
      <c r="R169" s="10"/>
      <c r="S169" s="31"/>
      <c r="T169" s="408">
        <v>324</v>
      </c>
      <c r="U169" s="31"/>
      <c r="V169" s="31"/>
      <c r="W169" s="28">
        <f>+W163</f>
        <v>324</v>
      </c>
      <c r="X169" s="31"/>
      <c r="Y169" s="31"/>
      <c r="Z169" s="28">
        <f>+Z163</f>
        <v>324</v>
      </c>
      <c r="AA169" s="31"/>
    </row>
    <row r="170" spans="1:27" ht="12.75">
      <c r="A170" t="s">
        <v>38</v>
      </c>
      <c r="E170" s="46">
        <f>SUM(E167:E169)</f>
        <v>8753</v>
      </c>
      <c r="F170" s="4"/>
      <c r="H170" s="161">
        <f>SUM(H167:H169)</f>
        <v>8977</v>
      </c>
      <c r="I170" s="10"/>
      <c r="K170" s="161">
        <f>SUM(K167:K169)</f>
        <v>9540</v>
      </c>
      <c r="L170" s="24"/>
      <c r="N170" s="188">
        <f>SUM(N167:N169)</f>
        <v>9957</v>
      </c>
      <c r="O170" s="24"/>
      <c r="Q170" s="311">
        <f>SUM(Q167:Q169)</f>
        <v>10596</v>
      </c>
      <c r="R170" s="10"/>
      <c r="S170" s="31"/>
      <c r="T170" s="409">
        <f>SUM(T167:T169)</f>
        <v>10453.953</v>
      </c>
      <c r="U170" s="31"/>
      <c r="V170" s="31"/>
      <c r="W170" s="188">
        <f>SUM(W167:W169)</f>
        <v>11012.171354999999</v>
      </c>
      <c r="X170" s="31"/>
      <c r="Y170" s="31"/>
      <c r="Z170" s="188">
        <f>SUM(Z167:Z169)</f>
        <v>11606.220952425</v>
      </c>
      <c r="AA170" s="31"/>
    </row>
    <row r="171" spans="5:27" ht="12.75">
      <c r="E171" s="4"/>
      <c r="F171" s="4"/>
      <c r="H171" s="10"/>
      <c r="I171" s="10"/>
      <c r="K171" s="24"/>
      <c r="L171" s="24"/>
      <c r="N171" s="10"/>
      <c r="O171" s="24"/>
      <c r="Q171" s="305"/>
      <c r="R171" s="10"/>
      <c r="S171" s="31"/>
      <c r="T171" s="411"/>
      <c r="U171" s="31"/>
      <c r="V171" s="31"/>
      <c r="W171" s="10"/>
      <c r="X171" s="31"/>
      <c r="Y171" s="31"/>
      <c r="Z171" s="10"/>
      <c r="AA171" s="31"/>
    </row>
    <row r="172" spans="5:27" ht="12.75">
      <c r="E172" s="4"/>
      <c r="F172" s="4"/>
      <c r="H172" s="10"/>
      <c r="I172" s="10"/>
      <c r="K172" s="24"/>
      <c r="L172" s="24"/>
      <c r="N172" s="10"/>
      <c r="O172" s="24"/>
      <c r="Q172" s="305"/>
      <c r="R172" s="10"/>
      <c r="S172" s="31"/>
      <c r="T172" s="411"/>
      <c r="U172" s="31"/>
      <c r="V172" s="31"/>
      <c r="W172" s="10"/>
      <c r="X172" s="31"/>
      <c r="Y172" s="31"/>
      <c r="Z172" s="10"/>
      <c r="AA172" s="31"/>
    </row>
    <row r="173" spans="1:27" ht="12.75">
      <c r="A173" t="s">
        <v>270</v>
      </c>
      <c r="E173" s="4"/>
      <c r="F173" s="4"/>
      <c r="H173" s="10"/>
      <c r="I173" s="10"/>
      <c r="K173" s="24"/>
      <c r="L173" s="24"/>
      <c r="N173" s="10"/>
      <c r="O173" s="24"/>
      <c r="Q173" s="305"/>
      <c r="R173" s="10"/>
      <c r="S173" s="31"/>
      <c r="T173" s="411"/>
      <c r="U173" s="31"/>
      <c r="V173" s="31"/>
      <c r="W173" s="10"/>
      <c r="X173" s="31"/>
      <c r="Y173" s="31"/>
      <c r="Z173" s="10"/>
      <c r="AA173" s="31"/>
    </row>
    <row r="174" spans="5:27" ht="12.75">
      <c r="E174" s="4"/>
      <c r="F174" s="4"/>
      <c r="H174" s="10"/>
      <c r="I174" s="10"/>
      <c r="K174" s="24"/>
      <c r="L174" s="24"/>
      <c r="N174" s="10"/>
      <c r="O174" s="24"/>
      <c r="Q174" s="305"/>
      <c r="R174" s="10"/>
      <c r="S174" s="31"/>
      <c r="T174" s="411"/>
      <c r="U174" s="31"/>
      <c r="V174" s="31"/>
      <c r="W174" s="10"/>
      <c r="X174" s="31"/>
      <c r="Y174" s="31"/>
      <c r="Z174" s="10"/>
      <c r="AA174" s="31"/>
    </row>
    <row r="175" spans="1:27" ht="12.75">
      <c r="A175" t="s">
        <v>117</v>
      </c>
      <c r="E175" s="46">
        <f>+E12</f>
        <v>43532</v>
      </c>
      <c r="F175" s="4"/>
      <c r="H175" s="46">
        <f>+H12</f>
        <v>47164</v>
      </c>
      <c r="I175" s="27"/>
      <c r="K175" s="46">
        <f>+K12</f>
        <v>51021.172999999995</v>
      </c>
      <c r="L175" s="4"/>
      <c r="N175" s="27">
        <f>+N12</f>
        <v>53284.297999999995</v>
      </c>
      <c r="O175" s="4"/>
      <c r="Q175" s="305">
        <f>+Q12</f>
        <v>55213.783</v>
      </c>
      <c r="R175" s="27"/>
      <c r="S175" s="31"/>
      <c r="T175" s="391">
        <f>+T12</f>
        <v>57484.94300000001</v>
      </c>
      <c r="U175" s="31"/>
      <c r="V175" s="31"/>
      <c r="W175" s="27">
        <f>+W12</f>
        <v>60158.84500000001</v>
      </c>
      <c r="X175" s="31"/>
      <c r="Y175" s="31"/>
      <c r="Z175" s="27">
        <f>+Z12</f>
        <v>62016.58272500001</v>
      </c>
      <c r="AA175" s="31"/>
    </row>
    <row r="176" spans="1:27" ht="12.75">
      <c r="A176" t="s">
        <v>116</v>
      </c>
      <c r="E176" s="152"/>
      <c r="H176" s="152"/>
      <c r="K176" s="152"/>
      <c r="Q176" s="307"/>
      <c r="R176" s="31"/>
      <c r="S176" s="31"/>
      <c r="U176" s="31"/>
      <c r="V176" s="31"/>
      <c r="W176" s="31"/>
      <c r="X176" s="31"/>
      <c r="Y176" s="31"/>
      <c r="Z176" s="31"/>
      <c r="AA176" s="31"/>
    </row>
    <row r="177" spans="5:27" ht="12.75">
      <c r="E177" s="152"/>
      <c r="H177" s="152"/>
      <c r="K177" s="152"/>
      <c r="Q177" s="307"/>
      <c r="R177" s="31"/>
      <c r="S177" s="31"/>
      <c r="U177" s="31"/>
      <c r="V177" s="31"/>
      <c r="W177" s="31"/>
      <c r="X177" s="31"/>
      <c r="Y177" s="31"/>
      <c r="Z177" s="31"/>
      <c r="AA177" s="31"/>
    </row>
    <row r="178" spans="1:27" ht="12.75">
      <c r="A178" t="s">
        <v>111</v>
      </c>
      <c r="E178" s="158">
        <f>+E175/3836</f>
        <v>11.348279457768509</v>
      </c>
      <c r="F178" s="26"/>
      <c r="H178" s="158">
        <f>+H175/4375</f>
        <v>10.780342857142857</v>
      </c>
      <c r="I178" s="39"/>
      <c r="K178" s="158">
        <f>+K175/(4766)</f>
        <v>10.705239823751572</v>
      </c>
      <c r="L178" s="26"/>
      <c r="N178" s="39">
        <f>+N175/(4987)</f>
        <v>10.684639663124122</v>
      </c>
      <c r="O178" s="26"/>
      <c r="Q178" s="312">
        <f>+Q175/(5305)</f>
        <v>10.40787615457116</v>
      </c>
      <c r="R178" s="39"/>
      <c r="S178" s="31"/>
      <c r="T178" s="423">
        <f>+T175/(5305*1.05)</f>
        <v>10.319993357569231</v>
      </c>
      <c r="U178" s="31"/>
      <c r="V178" s="31"/>
      <c r="W178" s="39">
        <f>+W175/(5305*1.05*1.05)</f>
        <v>10.285739077283445</v>
      </c>
      <c r="X178" s="31"/>
      <c r="Y178" s="31"/>
      <c r="Z178" s="39">
        <f>+Z175/(5305*1.05*1.05*1.05)</f>
        <v>10.098445973664964</v>
      </c>
      <c r="AA178" s="31"/>
    </row>
    <row r="179" spans="5:27" ht="12.75">
      <c r="E179" s="158" t="s">
        <v>122</v>
      </c>
      <c r="F179" s="26"/>
      <c r="H179" s="158"/>
      <c r="I179" s="39"/>
      <c r="K179" s="158"/>
      <c r="L179" s="26"/>
      <c r="N179" s="39"/>
      <c r="O179" s="26"/>
      <c r="Q179" s="312"/>
      <c r="R179" s="39"/>
      <c r="S179" s="31"/>
      <c r="T179" s="423"/>
      <c r="U179" s="31"/>
      <c r="V179" s="31"/>
      <c r="W179" s="39"/>
      <c r="X179" s="31"/>
      <c r="Y179" s="31"/>
      <c r="Z179" s="39"/>
      <c r="AA179" s="31"/>
    </row>
    <row r="180" spans="5:27" ht="12.75">
      <c r="E180" s="152"/>
      <c r="H180" s="152"/>
      <c r="K180" s="152"/>
      <c r="Q180" s="307"/>
      <c r="R180" s="31"/>
      <c r="S180" s="31"/>
      <c r="U180" s="31"/>
      <c r="V180" s="31"/>
      <c r="W180" s="31"/>
      <c r="X180" s="31"/>
      <c r="Y180" s="31"/>
      <c r="Z180" s="31"/>
      <c r="AA180" s="31"/>
    </row>
    <row r="181" spans="1:28" ht="12.75">
      <c r="A181" t="s">
        <v>118</v>
      </c>
      <c r="E181" s="46">
        <f>+E63</f>
        <v>-600</v>
      </c>
      <c r="F181" s="4"/>
      <c r="H181" s="46">
        <v>0</v>
      </c>
      <c r="I181" s="27"/>
      <c r="K181" s="46">
        <f>+K63</f>
        <v>21.708000000005995</v>
      </c>
      <c r="L181" s="4"/>
      <c r="N181" s="27">
        <f>+N63</f>
        <v>17.944499999997788</v>
      </c>
      <c r="O181" s="4"/>
      <c r="Q181" s="305">
        <f>+Q63</f>
        <v>0.68049999998766</v>
      </c>
      <c r="R181" s="27"/>
      <c r="S181" s="31"/>
      <c r="T181" s="391">
        <f>+T63</f>
        <v>-0.8018600000068545</v>
      </c>
      <c r="U181" s="31"/>
      <c r="V181" s="31"/>
      <c r="W181" s="27">
        <f>+W63+2400</f>
        <v>3836.3001240000012</v>
      </c>
      <c r="X181" s="31"/>
      <c r="Y181" s="31"/>
      <c r="Z181" s="27">
        <f>+Z63+2400</f>
        <v>6165.447358884019</v>
      </c>
      <c r="AA181" s="31"/>
      <c r="AB181" t="s">
        <v>599</v>
      </c>
    </row>
    <row r="182" spans="1:27" ht="12.75">
      <c r="A182" t="s">
        <v>119</v>
      </c>
      <c r="E182" s="152"/>
      <c r="H182" s="152"/>
      <c r="K182" s="152"/>
      <c r="Q182" s="307"/>
      <c r="R182" s="31"/>
      <c r="S182" s="31"/>
      <c r="U182" s="31"/>
      <c r="V182" s="31"/>
      <c r="W182" s="31"/>
      <c r="X182" s="31"/>
      <c r="Y182" s="31"/>
      <c r="Z182" s="31"/>
      <c r="AA182" s="31"/>
    </row>
    <row r="183" spans="5:27" ht="12.75">
      <c r="E183" s="152"/>
      <c r="H183" s="152"/>
      <c r="K183" s="152"/>
      <c r="Q183" s="307"/>
      <c r="R183" s="31"/>
      <c r="S183" s="31"/>
      <c r="U183" s="31"/>
      <c r="V183" s="31"/>
      <c r="W183" s="31"/>
      <c r="X183" s="31"/>
      <c r="Y183" s="31"/>
      <c r="Z183" s="31"/>
      <c r="AA183" s="31"/>
    </row>
    <row r="184" spans="1:27" ht="12.75">
      <c r="A184" t="s">
        <v>120</v>
      </c>
      <c r="E184" s="158">
        <f>+E181/3836</f>
        <v>-0.15641293013555788</v>
      </c>
      <c r="F184" s="26"/>
      <c r="G184" s="26"/>
      <c r="H184" s="158">
        <v>0</v>
      </c>
      <c r="I184" s="39"/>
      <c r="J184" s="26"/>
      <c r="K184" s="158">
        <f>+K181/4766</f>
        <v>0.004554762903903902</v>
      </c>
      <c r="L184" s="26"/>
      <c r="M184" s="26"/>
      <c r="N184" s="39">
        <f>+N181/(4987*1.07)</f>
        <v>0.003362855574024761</v>
      </c>
      <c r="O184" s="26"/>
      <c r="P184" s="26"/>
      <c r="Q184" s="312">
        <f>+Q181/(4987*1.07)</f>
        <v>0.00012752783404846243</v>
      </c>
      <c r="R184" s="39"/>
      <c r="S184" s="31"/>
      <c r="T184" s="423">
        <f>+T181/(5305*1.05)</f>
        <v>-0.00014395404156130416</v>
      </c>
      <c r="U184" s="31"/>
      <c r="V184" s="31"/>
      <c r="W184" s="39">
        <f>+W181/(5305*1.05*1.05)</f>
        <v>0.6559165505523606</v>
      </c>
      <c r="X184" s="31"/>
      <c r="Y184" s="31"/>
      <c r="Z184" s="39">
        <f>+Z181/(5304.559*1.05*1.05*1.05)</f>
        <v>1.0040316716942168</v>
      </c>
      <c r="AA184" s="31"/>
    </row>
    <row r="185" spans="1:27" ht="12.75">
      <c r="A185" t="s">
        <v>121</v>
      </c>
      <c r="E185" s="152"/>
      <c r="H185" s="152"/>
      <c r="K185" s="152"/>
      <c r="Q185" s="307"/>
      <c r="R185" s="31"/>
      <c r="S185" s="31"/>
      <c r="U185" s="31"/>
      <c r="V185" s="31"/>
      <c r="W185" s="31"/>
      <c r="X185" s="31"/>
      <c r="Y185" s="31"/>
      <c r="Z185" s="31"/>
      <c r="AA185" s="31"/>
    </row>
    <row r="186" spans="5:27" ht="12.75">
      <c r="E186" s="152"/>
      <c r="H186" s="152"/>
      <c r="K186" s="152"/>
      <c r="Q186" s="307"/>
      <c r="R186" s="31"/>
      <c r="S186" s="31"/>
      <c r="U186" s="31"/>
      <c r="V186" s="31"/>
      <c r="W186" s="31"/>
      <c r="X186" s="31"/>
      <c r="Y186" s="31"/>
      <c r="Z186" s="31"/>
      <c r="AA186" s="31"/>
    </row>
    <row r="187" spans="1:27" ht="12.75">
      <c r="A187" t="s">
        <v>112</v>
      </c>
      <c r="E187" s="159">
        <f>+E184+E178</f>
        <v>11.191866527632952</v>
      </c>
      <c r="F187" s="52"/>
      <c r="H187" s="159">
        <f>+H184+H178</f>
        <v>10.780342857142857</v>
      </c>
      <c r="I187" s="55"/>
      <c r="K187" s="159">
        <f>+K184+K178</f>
        <v>10.709794586655477</v>
      </c>
      <c r="L187" s="52"/>
      <c r="N187" s="189">
        <f>+N184+N178</f>
        <v>10.688002518698147</v>
      </c>
      <c r="O187" s="52"/>
      <c r="Q187" s="313">
        <f>+Q184+Q178</f>
        <v>10.408003682405209</v>
      </c>
      <c r="R187" s="55"/>
      <c r="S187" s="31"/>
      <c r="T187" s="424">
        <f>+T184+T178</f>
        <v>10.31984940352767</v>
      </c>
      <c r="U187" s="31"/>
      <c r="V187" s="31"/>
      <c r="W187" s="189">
        <f>+W184+W178</f>
        <v>10.941655627835805</v>
      </c>
      <c r="X187" s="31"/>
      <c r="Y187" s="31"/>
      <c r="Z187" s="189">
        <f>+Z184+Z178</f>
        <v>11.10247764535918</v>
      </c>
      <c r="AA187" s="31"/>
    </row>
    <row r="188" spans="5:27" ht="12.75">
      <c r="E188" s="152"/>
      <c r="H188" s="152"/>
      <c r="K188" s="152"/>
      <c r="Q188" s="307"/>
      <c r="R188" s="31"/>
      <c r="S188" s="31"/>
      <c r="U188" s="31"/>
      <c r="V188" s="31"/>
      <c r="W188" s="31"/>
      <c r="X188" s="31"/>
      <c r="Y188" s="31"/>
      <c r="Z188" s="31"/>
      <c r="AA188" s="31"/>
    </row>
    <row r="189" spans="1:27" ht="12.75">
      <c r="A189" t="s">
        <v>125</v>
      </c>
      <c r="E189" s="152"/>
      <c r="H189" s="152"/>
      <c r="K189" s="152"/>
      <c r="Q189" s="307"/>
      <c r="R189" s="31"/>
      <c r="S189" s="31"/>
      <c r="U189" s="31"/>
      <c r="V189" s="31"/>
      <c r="W189" s="31"/>
      <c r="X189" s="31"/>
      <c r="Y189" s="31"/>
      <c r="Z189" s="31"/>
      <c r="AA189" s="31"/>
    </row>
    <row r="190" spans="1:27" ht="12.75">
      <c r="A190" t="s">
        <v>113</v>
      </c>
      <c r="E190" s="152">
        <v>0</v>
      </c>
      <c r="H190" s="152" t="s">
        <v>16</v>
      </c>
      <c r="K190" s="152" t="s">
        <v>16</v>
      </c>
      <c r="N190" s="31" t="s">
        <v>16</v>
      </c>
      <c r="Q190" s="307" t="s">
        <v>16</v>
      </c>
      <c r="R190" s="31"/>
      <c r="S190" s="31"/>
      <c r="T190" s="407" t="s">
        <v>16</v>
      </c>
      <c r="U190" s="31"/>
      <c r="V190" s="31"/>
      <c r="W190" s="31" t="s">
        <v>16</v>
      </c>
      <c r="X190" s="31"/>
      <c r="Y190" s="31"/>
      <c r="Z190" s="31" t="s">
        <v>16</v>
      </c>
      <c r="AA190" s="31"/>
    </row>
    <row r="191" spans="1:27" ht="12.75">
      <c r="A191" t="s">
        <v>286</v>
      </c>
      <c r="E191" s="152"/>
      <c r="H191" s="152"/>
      <c r="K191" s="152" t="s">
        <v>16</v>
      </c>
      <c r="N191" s="31" t="s">
        <v>16</v>
      </c>
      <c r="Q191" s="307" t="s">
        <v>16</v>
      </c>
      <c r="R191" s="31"/>
      <c r="S191" s="31"/>
      <c r="T191" s="407" t="s">
        <v>16</v>
      </c>
      <c r="U191" s="31"/>
      <c r="V191" s="31"/>
      <c r="W191" s="31" t="s">
        <v>16</v>
      </c>
      <c r="X191" s="31"/>
      <c r="Y191" s="31"/>
      <c r="Z191" s="31" t="s">
        <v>16</v>
      </c>
      <c r="AA191" s="31"/>
    </row>
    <row r="192" spans="1:27" ht="12.75">
      <c r="A192" t="s">
        <v>415</v>
      </c>
      <c r="E192" s="152"/>
      <c r="H192" s="152"/>
      <c r="K192" s="152"/>
      <c r="Q192" s="307"/>
      <c r="R192" s="31"/>
      <c r="S192" s="31"/>
      <c r="T192" s="425">
        <v>0</v>
      </c>
      <c r="U192" s="31"/>
      <c r="V192" s="31"/>
      <c r="W192" s="325"/>
      <c r="X192" s="31"/>
      <c r="Y192" s="31"/>
      <c r="Z192" s="325"/>
      <c r="AA192" s="31"/>
    </row>
    <row r="193" spans="1:27" ht="12.75">
      <c r="A193" s="183" t="s">
        <v>126</v>
      </c>
      <c r="B193" s="183"/>
      <c r="C193" s="183"/>
      <c r="E193" s="152"/>
      <c r="H193" s="152"/>
      <c r="K193" s="152"/>
      <c r="N193" s="31">
        <v>0</v>
      </c>
      <c r="Q193" s="307">
        <v>0</v>
      </c>
      <c r="R193" s="31"/>
      <c r="S193" s="31"/>
      <c r="T193" s="407" t="s">
        <v>16</v>
      </c>
      <c r="U193" s="31"/>
      <c r="V193" s="31"/>
      <c r="W193" s="31" t="s">
        <v>16</v>
      </c>
      <c r="X193" s="31"/>
      <c r="Y193" s="31"/>
      <c r="Z193" s="31" t="s">
        <v>16</v>
      </c>
      <c r="AA193" s="31"/>
    </row>
    <row r="194" spans="5:27" ht="12.75">
      <c r="E194" s="152"/>
      <c r="H194" s="152"/>
      <c r="K194" s="152"/>
      <c r="Q194" s="307"/>
      <c r="R194" s="31"/>
      <c r="S194" s="31"/>
      <c r="U194" s="31"/>
      <c r="V194" s="31"/>
      <c r="W194" s="31"/>
      <c r="X194" s="31"/>
      <c r="Y194" s="31"/>
      <c r="Z194" s="31"/>
      <c r="AA194" s="31"/>
    </row>
    <row r="195" spans="1:27" ht="12.75">
      <c r="A195" t="s">
        <v>114</v>
      </c>
      <c r="E195" s="159">
        <f>SUM(E187:E194)</f>
        <v>11.191866527632952</v>
      </c>
      <c r="F195" s="52"/>
      <c r="H195" s="159">
        <f>SUM(H187:H194)</f>
        <v>10.780342857142857</v>
      </c>
      <c r="I195" s="55"/>
      <c r="K195" s="159">
        <f>SUM(K187:K194)</f>
        <v>10.709794586655477</v>
      </c>
      <c r="L195" s="52"/>
      <c r="N195" s="189">
        <f>SUM(N187:N194)</f>
        <v>10.688002518698147</v>
      </c>
      <c r="O195" s="52"/>
      <c r="Q195" s="313">
        <f>SUM(Q187:Q194)</f>
        <v>10.408003682405209</v>
      </c>
      <c r="R195" s="55"/>
      <c r="S195" s="31"/>
      <c r="T195" s="424">
        <f>SUM(T187:T194)</f>
        <v>10.31984940352767</v>
      </c>
      <c r="U195" s="31"/>
      <c r="V195" s="31"/>
      <c r="W195" s="189">
        <f>SUM(W187:W194)</f>
        <v>10.941655627835805</v>
      </c>
      <c r="X195" s="31"/>
      <c r="Y195" s="31"/>
      <c r="Z195" s="189">
        <f>SUM(Z187:Z194)</f>
        <v>11.10247764535918</v>
      </c>
      <c r="AA195" s="31"/>
    </row>
    <row r="196" spans="5:27" ht="12.75">
      <c r="E196" s="152"/>
      <c r="H196" s="152"/>
      <c r="K196" s="152"/>
      <c r="Q196" s="307"/>
      <c r="R196" s="31"/>
      <c r="S196" s="31"/>
      <c r="U196" s="31"/>
      <c r="V196" s="31"/>
      <c r="W196" s="31"/>
      <c r="X196" s="31"/>
      <c r="Y196" s="31"/>
      <c r="Z196" s="31"/>
      <c r="AA196" s="31"/>
    </row>
    <row r="197" spans="1:27" ht="12.75">
      <c r="A197" t="s">
        <v>416</v>
      </c>
      <c r="E197" s="152"/>
      <c r="H197" s="171">
        <f>+(H195-E195)/E195</f>
        <v>-0.036769887263579666</v>
      </c>
      <c r="I197" s="40"/>
      <c r="K197" s="171">
        <f>+(K195-H195)/H195</f>
        <v>-0.006544158328010557</v>
      </c>
      <c r="L197" s="7"/>
      <c r="N197" s="41">
        <f>+(N195-K195)/K195</f>
        <v>-0.0020347792649994595</v>
      </c>
      <c r="O197" s="7"/>
      <c r="Q197" s="314">
        <f>+(Q195-N195)/N195</f>
        <v>-0.026197489737029296</v>
      </c>
      <c r="R197" s="40"/>
      <c r="S197" s="31"/>
      <c r="T197" s="426">
        <f>+(T195-Q195)/Q195</f>
        <v>-0.008469854697165841</v>
      </c>
      <c r="U197" s="31"/>
      <c r="V197" s="31"/>
      <c r="W197" s="40">
        <f>+(W195-T195)/T195</f>
        <v>0.06025342037409788</v>
      </c>
      <c r="X197" s="31"/>
      <c r="Y197" s="31"/>
      <c r="Z197" s="40">
        <f>+(Z195-W195)/W195</f>
        <v>0.014698142858219708</v>
      </c>
      <c r="AA197" s="31"/>
    </row>
    <row r="198" spans="5:27" ht="12.75">
      <c r="E198" s="152"/>
      <c r="H198" s="152"/>
      <c r="K198" s="152"/>
      <c r="Q198" s="307"/>
      <c r="R198" s="31"/>
      <c r="S198" s="31"/>
      <c r="U198" s="31"/>
      <c r="V198" s="31"/>
      <c r="W198" s="31"/>
      <c r="X198" s="31"/>
      <c r="Y198" s="31"/>
      <c r="Z198" s="31"/>
      <c r="AA198" s="31"/>
    </row>
    <row r="199" spans="1:27" ht="12.75">
      <c r="A199" t="s">
        <v>536</v>
      </c>
      <c r="E199" s="152"/>
      <c r="H199" s="152"/>
      <c r="K199" s="152"/>
      <c r="Q199" s="307"/>
      <c r="R199" s="31"/>
      <c r="S199" s="31"/>
      <c r="U199" s="31"/>
      <c r="V199" s="31"/>
      <c r="W199" s="31"/>
      <c r="X199" s="31"/>
      <c r="Y199" s="31"/>
      <c r="Z199" s="31"/>
      <c r="AA199" s="31"/>
    </row>
    <row r="200" spans="3:27" ht="12.75">
      <c r="C200" s="182" t="s">
        <v>16</v>
      </c>
      <c r="E200" s="162" t="e">
        <f>+$C$200*E195</f>
        <v>#VALUE!</v>
      </c>
      <c r="F200" s="163"/>
      <c r="G200" s="163">
        <v>633.7</v>
      </c>
      <c r="H200" s="162">
        <f>+$G$200*H195</f>
        <v>6831.5032685714295</v>
      </c>
      <c r="I200" s="164"/>
      <c r="J200" s="164">
        <v>689.8</v>
      </c>
      <c r="K200" s="162">
        <f>+J200*K195</f>
        <v>7387.616305874947</v>
      </c>
      <c r="L200" s="163"/>
      <c r="M200" s="164">
        <v>719</v>
      </c>
      <c r="N200" s="164">
        <f>+M200*N195</f>
        <v>7684.6738109439675</v>
      </c>
      <c r="O200" s="163"/>
      <c r="P200" s="163">
        <f>SUM(M200*1.07)</f>
        <v>769.33</v>
      </c>
      <c r="Q200" s="315">
        <f>+P200*Q195</f>
        <v>8007.1894729848</v>
      </c>
      <c r="R200" s="164"/>
      <c r="S200" s="163">
        <f>SUM(P200*1.05)</f>
        <v>807.7965</v>
      </c>
      <c r="T200" s="427">
        <f>+S200*T195</f>
        <v>8336.338228696739</v>
      </c>
      <c r="U200" s="164"/>
      <c r="V200" s="164">
        <f>SUM(S200*1.05)</f>
        <v>848.1863250000001</v>
      </c>
      <c r="W200" s="164">
        <f>+V200*W195</f>
        <v>9280.562676389622</v>
      </c>
      <c r="X200" s="164"/>
      <c r="Y200" s="164">
        <f>SUM(V200*1.05)</f>
        <v>890.5956412500002</v>
      </c>
      <c r="Z200" s="164">
        <f>+Y200*Z195</f>
        <v>9887.818198032452</v>
      </c>
      <c r="AA200" s="31"/>
    </row>
    <row r="201" spans="2:27" ht="12.75">
      <c r="B201" t="s">
        <v>16</v>
      </c>
      <c r="C201" t="s">
        <v>16</v>
      </c>
      <c r="H201" s="175" t="e">
        <f>SUM(H200/E200)-1</f>
        <v>#VALUE!</v>
      </c>
      <c r="K201" s="175">
        <f>SUM(K200/H200)-1</f>
        <v>0.08140419691547751</v>
      </c>
      <c r="M201" t="s">
        <v>499</v>
      </c>
      <c r="N201" s="175">
        <f>SUM(N200/K200)-1</f>
        <v>0.04021019673596027</v>
      </c>
      <c r="Q201" s="316">
        <f>SUM(Q200/N200)-1</f>
        <v>0.04196868598137882</v>
      </c>
      <c r="R201" s="31"/>
      <c r="S201" s="31"/>
      <c r="T201" s="428">
        <f>SUM(T200/Q200)-1</f>
        <v>0.04110665256797574</v>
      </c>
      <c r="U201" s="31"/>
      <c r="V201" s="31"/>
      <c r="W201" s="175">
        <f>SUM(W200/T200)-1</f>
        <v>0.11326609139280297</v>
      </c>
      <c r="X201" s="31"/>
      <c r="Y201" s="31"/>
      <c r="Z201" s="175">
        <f>SUM(Z200/W200)-1</f>
        <v>0.06543305000113087</v>
      </c>
      <c r="AA201" s="31"/>
    </row>
    <row r="202" spans="1:27" ht="12.75">
      <c r="A202" t="s">
        <v>537</v>
      </c>
      <c r="Q202" s="307"/>
      <c r="R202" s="31"/>
      <c r="S202" s="31"/>
      <c r="U202" s="31"/>
      <c r="V202" s="31"/>
      <c r="W202" s="31"/>
      <c r="X202" s="31"/>
      <c r="Y202" s="31"/>
      <c r="Z202" s="31"/>
      <c r="AA202" s="31"/>
    </row>
    <row r="203" spans="1:27" ht="12.75">
      <c r="A203" t="s">
        <v>287</v>
      </c>
      <c r="Q203" s="307"/>
      <c r="R203" s="31"/>
      <c r="S203" s="31"/>
      <c r="U203" s="31"/>
      <c r="V203" s="31"/>
      <c r="W203" s="31"/>
      <c r="X203" s="31"/>
      <c r="Y203" s="31"/>
      <c r="Z203" s="31"/>
      <c r="AA203" s="31"/>
    </row>
    <row r="204" spans="1:27" ht="12.75">
      <c r="A204" t="s">
        <v>538</v>
      </c>
      <c r="Q204" s="307"/>
      <c r="R204" s="31"/>
      <c r="S204" s="31"/>
      <c r="U204" s="31"/>
      <c r="V204" s="31"/>
      <c r="W204" s="31"/>
      <c r="X204" s="31"/>
      <c r="Y204" s="31"/>
      <c r="Z204" s="31"/>
      <c r="AA204" s="31"/>
    </row>
    <row r="205" spans="1:27" ht="12.75">
      <c r="A205" s="180" t="s">
        <v>539</v>
      </c>
      <c r="Q205" s="307"/>
      <c r="R205" s="31"/>
      <c r="S205" s="31"/>
      <c r="U205" s="31"/>
      <c r="V205" s="31"/>
      <c r="W205" s="31"/>
      <c r="X205" s="31"/>
      <c r="Y205" s="31"/>
      <c r="Z205" s="31"/>
      <c r="AA205" s="31"/>
    </row>
    <row r="206" spans="17:27" ht="12.75">
      <c r="Q206" s="307"/>
      <c r="R206" s="31"/>
      <c r="S206" s="31"/>
      <c r="U206" s="31"/>
      <c r="V206" s="31"/>
      <c r="W206" s="31"/>
      <c r="X206" s="31"/>
      <c r="Y206" s="31"/>
      <c r="Z206" s="31"/>
      <c r="AA206" s="31"/>
    </row>
    <row r="207" spans="1:27" ht="12.75">
      <c r="A207" t="s">
        <v>313</v>
      </c>
      <c r="Q207" s="307"/>
      <c r="U207" s="31"/>
      <c r="V207" s="31"/>
      <c r="W207" s="31"/>
      <c r="X207" s="31"/>
      <c r="Y207" s="31"/>
      <c r="Z207" s="31"/>
      <c r="AA207" s="31"/>
    </row>
    <row r="208" spans="1:27" ht="12.75">
      <c r="A208" t="s">
        <v>540</v>
      </c>
      <c r="Q208" s="307"/>
      <c r="U208" s="31"/>
      <c r="V208" s="31"/>
      <c r="W208" s="31"/>
      <c r="X208" s="31"/>
      <c r="Y208" s="31"/>
      <c r="Z208" s="31"/>
      <c r="AA208" s="31"/>
    </row>
    <row r="209" spans="17:27" ht="12.75">
      <c r="Q209" s="307"/>
      <c r="U209" s="31"/>
      <c r="V209" s="31"/>
      <c r="W209" s="31"/>
      <c r="X209" s="31"/>
      <c r="Y209" s="31"/>
      <c r="Z209" s="31"/>
      <c r="AA209" s="31"/>
    </row>
    <row r="210" spans="1:27" ht="12.75">
      <c r="A210" t="s">
        <v>403</v>
      </c>
      <c r="Q210" s="307"/>
      <c r="U210" s="31"/>
      <c r="V210" s="31"/>
      <c r="W210" s="31"/>
      <c r="X210" s="31"/>
      <c r="Y210" s="31"/>
      <c r="Z210" s="31"/>
      <c r="AA210" s="31"/>
    </row>
    <row r="211" spans="1:27" ht="12.75">
      <c r="A211" t="s">
        <v>611</v>
      </c>
      <c r="M211" s="185">
        <v>0.125</v>
      </c>
      <c r="N211" s="31">
        <v>3628</v>
      </c>
      <c r="P211" s="7">
        <v>0</v>
      </c>
      <c r="Q211" s="305">
        <f>3657-16</f>
        <v>3641</v>
      </c>
      <c r="S211" s="8">
        <f>SUM(T211/Q211)-1</f>
        <v>0.10205081021697326</v>
      </c>
      <c r="T211" s="391">
        <f>SUM('FY07 Voted'!L64)/1000</f>
        <v>4012.567</v>
      </c>
      <c r="U211" s="31"/>
      <c r="V211" s="41">
        <v>0.1</v>
      </c>
      <c r="W211" s="27">
        <f>+T211*(1+V211)</f>
        <v>4413.8237</v>
      </c>
      <c r="X211" s="31"/>
      <c r="Y211" s="31"/>
      <c r="Z211" s="31"/>
      <c r="AA211" s="31" t="s">
        <v>16</v>
      </c>
    </row>
    <row r="212" spans="1:27" ht="12.75">
      <c r="A212" t="s">
        <v>612</v>
      </c>
      <c r="M212" s="185">
        <v>0.125</v>
      </c>
      <c r="N212" s="302">
        <v>4102</v>
      </c>
      <c r="P212" s="8">
        <f>+(Q212-N212)/N212</f>
        <v>0.12018527547537787</v>
      </c>
      <c r="Q212" s="402">
        <f>4636-41</f>
        <v>4595</v>
      </c>
      <c r="S212" s="8">
        <f>SUM(T212/Q212)-1</f>
        <v>0.141784548422198</v>
      </c>
      <c r="T212" s="391">
        <f>1513.2+3733.3</f>
        <v>5246.5</v>
      </c>
      <c r="U212" s="31"/>
      <c r="V212" s="41">
        <v>0.1</v>
      </c>
      <c r="W212" s="27">
        <f>+T212*(1+V212)</f>
        <v>5771.150000000001</v>
      </c>
      <c r="X212" s="31"/>
      <c r="Y212" s="31"/>
      <c r="Z212" s="31"/>
      <c r="AA212" s="31" t="s">
        <v>16</v>
      </c>
    </row>
    <row r="213" spans="17:28" ht="12.75">
      <c r="Q213" s="307"/>
      <c r="U213" s="31"/>
      <c r="V213" s="31"/>
      <c r="W213" s="31"/>
      <c r="X213" s="31"/>
      <c r="Y213" s="31"/>
      <c r="Z213" s="31"/>
      <c r="AA213" s="31" t="s">
        <v>16</v>
      </c>
      <c r="AB213" t="s">
        <v>16</v>
      </c>
    </row>
    <row r="214" spans="17:27" ht="12.75">
      <c r="Q214" s="307"/>
      <c r="U214" s="31"/>
      <c r="V214" s="31"/>
      <c r="W214" s="31"/>
      <c r="X214" s="31"/>
      <c r="Y214" s="31"/>
      <c r="Z214" s="31"/>
      <c r="AA214" s="31"/>
    </row>
    <row r="215" spans="1:27" ht="12.75">
      <c r="A215" t="s">
        <v>301</v>
      </c>
      <c r="Q215" s="307"/>
      <c r="U215" s="31"/>
      <c r="V215" s="31"/>
      <c r="W215" s="31"/>
      <c r="X215" s="31"/>
      <c r="Y215" s="31"/>
      <c r="Z215" s="31"/>
      <c r="AA215" s="31"/>
    </row>
    <row r="216" spans="17:27" ht="12.75">
      <c r="Q216" s="307"/>
      <c r="U216" s="31"/>
      <c r="V216" s="31"/>
      <c r="W216" s="31"/>
      <c r="X216" s="31"/>
      <c r="Y216" s="31"/>
      <c r="Z216" s="31"/>
      <c r="AA216" s="31"/>
    </row>
    <row r="217" spans="1:27" ht="12.75">
      <c r="A217" t="s">
        <v>9</v>
      </c>
      <c r="E217" s="46">
        <v>12896</v>
      </c>
      <c r="F217" s="27"/>
      <c r="G217" s="8">
        <f>H217/E217-1</f>
        <v>0.019293346774193365</v>
      </c>
      <c r="H217" s="46">
        <f>SUM('FY03 Detail'!$C$65/1000+'FY03 Detail'!$L$65/1000+'FY03 Detail'!$M$65/1000)</f>
        <v>13144.806999999999</v>
      </c>
      <c r="I217" s="27"/>
      <c r="J217" s="8">
        <f>K217/H217-1</f>
        <v>0.014250950964894482</v>
      </c>
      <c r="K217" s="46">
        <f>SUM('FY04 Detail'!$C$68/1000+'FY04 Detail'!$M$68/1000+'FY04 Detail'!$N$68/1000)</f>
        <v>13332.133</v>
      </c>
      <c r="L217" s="4"/>
      <c r="M217" s="8">
        <f>N217/K217-1</f>
        <v>0.015011026367648839</v>
      </c>
      <c r="N217" s="27">
        <f>SUM('FY05 Detail'!$C$67/1000+'FY05 Detail'!$M$67/1000+'FY05 Detail'!$N$67/1000)</f>
        <v>13532.262</v>
      </c>
      <c r="O217" s="4"/>
      <c r="P217" s="8">
        <f>Q217/N217-1</f>
        <v>0.04804303966328782</v>
      </c>
      <c r="Q217" s="27">
        <f>SUM('FY06 Detail'!$C$67/1000+'FY06 Detail'!$M$67/1000+'FY06 Detail'!$N$67/1000)</f>
        <v>14182.393000000002</v>
      </c>
      <c r="R217" s="4"/>
      <c r="S217" s="8">
        <f>SUM(T217/Q217)-1</f>
        <v>0.00815222085581735</v>
      </c>
      <c r="T217" s="429">
        <f>SUM('FY07 Voted'!$C$64/1000+'FY07 Voted'!$M$64/1000+'FY07 Voted'!$N$64/1000)</f>
        <v>14298.010999999999</v>
      </c>
      <c r="U217" s="31"/>
      <c r="V217" s="41">
        <v>0.042</v>
      </c>
      <c r="W217" s="27">
        <f>+T217*(1+V217)</f>
        <v>14898.527461999998</v>
      </c>
      <c r="X217" s="31"/>
      <c r="Y217" s="41">
        <v>0.042</v>
      </c>
      <c r="Z217" s="27">
        <f>+W217*(1+Y217)</f>
        <v>15524.265615403998</v>
      </c>
      <c r="AA217" s="31"/>
    </row>
    <row r="218" spans="1:27" ht="12.75">
      <c r="A218" t="s">
        <v>212</v>
      </c>
      <c r="E218" s="46">
        <v>19521</v>
      </c>
      <c r="F218" s="27"/>
      <c r="G218" s="8">
        <f>H218/E218-1</f>
        <v>0.019414988986220072</v>
      </c>
      <c r="H218" s="46">
        <v>19900</v>
      </c>
      <c r="I218" s="27"/>
      <c r="J218" s="8">
        <f>K218/H218-1</f>
        <v>0.016281407035175777</v>
      </c>
      <c r="K218" s="46">
        <f>19922+193+50+59</f>
        <v>20224</v>
      </c>
      <c r="L218" s="4"/>
      <c r="M218" s="8">
        <f>N218/K218-1</f>
        <v>0.03134889240506333</v>
      </c>
      <c r="N218" s="27">
        <f>20556+59+50+193</f>
        <v>20858</v>
      </c>
      <c r="O218" s="4"/>
      <c r="P218" s="8">
        <f>Q218/N218-1</f>
        <v>0.046600824623645565</v>
      </c>
      <c r="Q218" s="305">
        <f>21467+363</f>
        <v>21830</v>
      </c>
      <c r="R218" s="4"/>
      <c r="S218" s="8">
        <f>SUM(T218/Q218)-1</f>
        <v>0.030155748969308283</v>
      </c>
      <c r="T218" s="391">
        <f>22021+400+67.3</f>
        <v>22488.3</v>
      </c>
      <c r="U218" s="31"/>
      <c r="V218" s="41">
        <v>0.042</v>
      </c>
      <c r="W218" s="27">
        <f>+T218*(1+V218)</f>
        <v>23432.8086</v>
      </c>
      <c r="X218" s="31"/>
      <c r="Y218" s="41">
        <v>0.042</v>
      </c>
      <c r="Z218" s="27">
        <f>+W218*(1+Y218)</f>
        <v>24416.9865612</v>
      </c>
      <c r="AA218" s="31"/>
    </row>
    <row r="219" spans="17:27" ht="12.75">
      <c r="Q219" s="307"/>
      <c r="U219" s="31"/>
      <c r="V219" s="31"/>
      <c r="W219" s="31"/>
      <c r="X219" s="31"/>
      <c r="Y219" s="31"/>
      <c r="Z219" s="31"/>
      <c r="AA219" s="31"/>
    </row>
    <row r="220" spans="1:27" ht="12.75">
      <c r="A220" t="s">
        <v>633</v>
      </c>
      <c r="Q220" s="307"/>
      <c r="U220" s="31"/>
      <c r="V220" s="31"/>
      <c r="W220" s="31"/>
      <c r="X220" s="31"/>
      <c r="Y220" s="31"/>
      <c r="Z220" s="31"/>
      <c r="AA220" s="31"/>
    </row>
    <row r="221" spans="1:27" ht="12.75">
      <c r="A221" t="s">
        <v>634</v>
      </c>
      <c r="Q221" s="403"/>
      <c r="U221" s="31"/>
      <c r="V221" s="31"/>
      <c r="W221" s="31"/>
      <c r="X221" s="31"/>
      <c r="Y221" s="31"/>
      <c r="Z221" s="31"/>
      <c r="AA221" s="31"/>
    </row>
    <row r="222" spans="1:27" ht="12.75">
      <c r="A222" t="s">
        <v>334</v>
      </c>
      <c r="B222" t="s">
        <v>332</v>
      </c>
      <c r="E222" s="185">
        <f>E217/E38</f>
        <v>0.3978159607613289</v>
      </c>
      <c r="F222" s="185"/>
      <c r="G222" s="185"/>
      <c r="H222" s="185">
        <f>H217/H38</f>
        <v>0.39778737397376834</v>
      </c>
      <c r="I222" s="175"/>
      <c r="J222" s="185"/>
      <c r="K222" s="185">
        <f>K217/K38</f>
        <v>0.3973083847295515</v>
      </c>
      <c r="L222" s="185"/>
      <c r="M222" s="185"/>
      <c r="N222" s="175">
        <f>N217/N38</f>
        <v>0.3934910993117761</v>
      </c>
      <c r="O222" s="185"/>
      <c r="P222" s="185"/>
      <c r="Q222" s="175">
        <f>Q217/Q38</f>
        <v>0.39381978864886874</v>
      </c>
      <c r="R222" s="185"/>
      <c r="S222" s="185"/>
      <c r="T222" s="428">
        <f>T217/T38</f>
        <v>0.38867748929758134</v>
      </c>
      <c r="U222" s="175"/>
      <c r="V222" s="175"/>
      <c r="W222" s="175">
        <f>W217/W38</f>
        <v>0.3886774892975813</v>
      </c>
      <c r="X222" s="175"/>
      <c r="Y222" s="175"/>
      <c r="Z222" s="175">
        <f>Z217/Z38</f>
        <v>0.38867748929758134</v>
      </c>
      <c r="AA222" s="31"/>
    </row>
    <row r="223" spans="2:27" ht="12.75">
      <c r="B223" t="s">
        <v>333</v>
      </c>
      <c r="E223" s="185">
        <f>E218/E38</f>
        <v>0.602184039238671</v>
      </c>
      <c r="F223" s="185"/>
      <c r="G223" s="185"/>
      <c r="H223" s="185">
        <f>H218/H38</f>
        <v>0.6022126260262316</v>
      </c>
      <c r="I223" s="175"/>
      <c r="J223" s="185"/>
      <c r="K223" s="185">
        <f>K218/K38</f>
        <v>0.6026916152704485</v>
      </c>
      <c r="L223" s="185"/>
      <c r="M223" s="185"/>
      <c r="N223" s="175">
        <f>N218/N38</f>
        <v>0.6065089006882238</v>
      </c>
      <c r="O223" s="185"/>
      <c r="P223" s="185"/>
      <c r="Q223" s="175">
        <f>Q218/Q38</f>
        <v>0.6061802113511312</v>
      </c>
      <c r="R223" s="185"/>
      <c r="S223" s="185"/>
      <c r="T223" s="428">
        <f>T218/T38</f>
        <v>0.6113225107024186</v>
      </c>
      <c r="U223" s="175"/>
      <c r="V223" s="175"/>
      <c r="W223" s="175">
        <f>W218/W38</f>
        <v>0.6113225107024186</v>
      </c>
      <c r="X223" s="175"/>
      <c r="Y223" s="175"/>
      <c r="Z223" s="175">
        <f>Z218/Z38</f>
        <v>0.6113225107024186</v>
      </c>
      <c r="AA223" s="31"/>
    </row>
    <row r="224" ht="12.75">
      <c r="K224" s="47"/>
    </row>
    <row r="225" ht="12.75">
      <c r="K225" s="47"/>
    </row>
    <row r="226" ht="12.75">
      <c r="K226" s="47"/>
    </row>
    <row r="227" ht="12.75">
      <c r="K227" s="4"/>
    </row>
    <row r="228" ht="12.75">
      <c r="N228" s="27"/>
    </row>
    <row r="229" spans="11:14" ht="12.75">
      <c r="K229" s="4"/>
      <c r="N229" s="27"/>
    </row>
    <row r="231" ht="12.75">
      <c r="K231" s="4"/>
    </row>
  </sheetData>
  <printOptions/>
  <pageMargins left="0.25" right="0.25" top="0.25" bottom="0.25" header="0.25" footer="0.5"/>
  <pageSetup horizontalDpi="300" verticalDpi="300" orientation="landscape" scale="72" r:id="rId1"/>
  <headerFooter alignWithMargins="0">
    <oddFooter>&amp;L&amp;P&amp;C&amp;D&amp;R&amp;F</oddFooter>
  </headerFooter>
  <rowBreaks count="4" manualBreakCount="4">
    <brk id="63" max="33" man="1"/>
    <brk id="121" max="33" man="1"/>
    <brk id="178" max="33" man="1"/>
    <brk id="2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workbookViewId="0" topLeftCell="A1">
      <selection activeCell="A3" sqref="A3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3" width="18.00390625" style="0" customWidth="1"/>
    <col min="4" max="4" width="13.140625" style="0" customWidth="1"/>
    <col min="5" max="5" width="45.28125" style="0" customWidth="1"/>
    <col min="8" max="9" width="9.140625" style="31" customWidth="1"/>
    <col min="14" max="14" width="9.140625" style="31" customWidth="1"/>
  </cols>
  <sheetData>
    <row r="1" spans="8:14" s="23" customFormat="1" ht="12.75">
      <c r="H1" s="38"/>
      <c r="I1" s="38"/>
      <c r="N1" s="38"/>
    </row>
    <row r="2" spans="1:14" s="23" customFormat="1" ht="18">
      <c r="A2" s="365" t="s">
        <v>650</v>
      </c>
      <c r="H2" s="38"/>
      <c r="I2" s="38"/>
      <c r="N2" s="38"/>
    </row>
    <row r="3" spans="1:14" s="23" customFormat="1" ht="15">
      <c r="A3" s="359"/>
      <c r="H3" s="38"/>
      <c r="I3" s="38"/>
      <c r="N3" s="38"/>
    </row>
    <row r="4" spans="1:14" s="23" customFormat="1" ht="15">
      <c r="A4" s="360" t="s">
        <v>635</v>
      </c>
      <c r="H4" s="38"/>
      <c r="I4" s="38"/>
      <c r="N4" s="38"/>
    </row>
    <row r="5" spans="2:14" s="23" customFormat="1" ht="12.75">
      <c r="B5" s="439" t="s">
        <v>649</v>
      </c>
      <c r="C5" s="439"/>
      <c r="D5" s="439"/>
      <c r="H5" s="38"/>
      <c r="I5" s="38"/>
      <c r="N5" s="38"/>
    </row>
    <row r="6" spans="2:14" s="23" customFormat="1" ht="12.75">
      <c r="B6" s="358" t="s">
        <v>497</v>
      </c>
      <c r="C6" s="358" t="s">
        <v>498</v>
      </c>
      <c r="D6" s="358" t="s">
        <v>218</v>
      </c>
      <c r="H6" s="38"/>
      <c r="I6" s="38"/>
      <c r="N6" s="38"/>
    </row>
    <row r="7" ht="12.75">
      <c r="L7" s="23"/>
    </row>
    <row r="8" spans="1:5" ht="12.75">
      <c r="A8" t="s">
        <v>545</v>
      </c>
      <c r="B8" s="47">
        <v>14298</v>
      </c>
      <c r="C8" s="47">
        <v>22488</v>
      </c>
      <c r="D8" s="47">
        <f>SUM(B8:C8)</f>
        <v>36786</v>
      </c>
      <c r="E8" t="s">
        <v>546</v>
      </c>
    </row>
    <row r="9" spans="1:4" ht="12.75">
      <c r="A9" t="s">
        <v>547</v>
      </c>
      <c r="B9" s="47">
        <v>4013</v>
      </c>
      <c r="C9" s="47">
        <v>5247</v>
      </c>
      <c r="D9" s="47">
        <f aca="true" t="shared" si="0" ref="D9:D21">SUM(B9:C9)</f>
        <v>9260</v>
      </c>
    </row>
    <row r="10" spans="1:4" ht="12.75">
      <c r="A10" t="s">
        <v>548</v>
      </c>
      <c r="B10" s="47">
        <v>3517</v>
      </c>
      <c r="C10" s="47"/>
      <c r="D10" s="47">
        <f t="shared" si="0"/>
        <v>3517</v>
      </c>
    </row>
    <row r="11" spans="1:4" ht="12.75">
      <c r="A11" t="s">
        <v>549</v>
      </c>
      <c r="B11" s="47">
        <v>4513</v>
      </c>
      <c r="C11" s="47">
        <v>4223</v>
      </c>
      <c r="D11" s="47">
        <f t="shared" si="0"/>
        <v>8736</v>
      </c>
    </row>
    <row r="12" spans="1:4" ht="12.75">
      <c r="A12" t="s">
        <v>550</v>
      </c>
      <c r="B12" s="47"/>
      <c r="C12" s="47">
        <v>2688</v>
      </c>
      <c r="D12" s="47">
        <f t="shared" si="0"/>
        <v>2688</v>
      </c>
    </row>
    <row r="13" spans="1:4" ht="12.75">
      <c r="A13" t="s">
        <v>551</v>
      </c>
      <c r="B13" s="47">
        <v>606</v>
      </c>
      <c r="C13" s="47"/>
      <c r="D13" s="47">
        <f t="shared" si="0"/>
        <v>606</v>
      </c>
    </row>
    <row r="14" spans="1:4" ht="12.75">
      <c r="A14" t="s">
        <v>552</v>
      </c>
      <c r="B14" s="47">
        <v>1476</v>
      </c>
      <c r="C14" s="47"/>
      <c r="D14" s="47">
        <f t="shared" si="0"/>
        <v>1476</v>
      </c>
    </row>
    <row r="15" spans="1:4" ht="12.75">
      <c r="A15" t="s">
        <v>553</v>
      </c>
      <c r="B15" s="47">
        <v>2271</v>
      </c>
      <c r="C15" s="47"/>
      <c r="D15" s="47">
        <f t="shared" si="0"/>
        <v>2271</v>
      </c>
    </row>
    <row r="16" spans="1:4" ht="12.75">
      <c r="A16" t="s">
        <v>12</v>
      </c>
      <c r="B16" s="47">
        <v>400</v>
      </c>
      <c r="C16" s="47"/>
      <c r="D16" s="47">
        <f t="shared" si="0"/>
        <v>400</v>
      </c>
    </row>
    <row r="17" spans="1:4" ht="12.75">
      <c r="A17" t="s">
        <v>554</v>
      </c>
      <c r="B17" s="47">
        <v>974</v>
      </c>
      <c r="C17" s="47"/>
      <c r="D17" s="47">
        <f t="shared" si="0"/>
        <v>974</v>
      </c>
    </row>
    <row r="18" spans="1:4" ht="12.75">
      <c r="A18" t="s">
        <v>123</v>
      </c>
      <c r="B18" s="47">
        <v>2186</v>
      </c>
      <c r="C18" s="47"/>
      <c r="D18" s="47">
        <f t="shared" si="0"/>
        <v>2186</v>
      </c>
    </row>
    <row r="19" spans="1:4" ht="12.75">
      <c r="A19" t="s">
        <v>555</v>
      </c>
      <c r="B19" s="318">
        <v>4816</v>
      </c>
      <c r="C19" s="318"/>
      <c r="D19" s="318">
        <f t="shared" si="0"/>
        <v>4816</v>
      </c>
    </row>
    <row r="20" spans="2:4" ht="12.75">
      <c r="B20" s="47"/>
      <c r="C20" s="47"/>
      <c r="D20" s="47" t="s">
        <v>16</v>
      </c>
    </row>
    <row r="21" spans="1:4" ht="12.75">
      <c r="A21" t="s">
        <v>218</v>
      </c>
      <c r="B21" s="47">
        <f>SUM(B8:B19)</f>
        <v>39070</v>
      </c>
      <c r="C21" s="47">
        <f>SUM(C8:C18)</f>
        <v>34646</v>
      </c>
      <c r="D21" s="47">
        <f t="shared" si="0"/>
        <v>73716</v>
      </c>
    </row>
    <row r="22" spans="2:4" ht="12.75">
      <c r="B22" s="47"/>
      <c r="C22" s="47"/>
      <c r="D22" s="47"/>
    </row>
    <row r="23" spans="2:4" ht="12.75">
      <c r="B23" s="47"/>
      <c r="C23" s="47"/>
      <c r="D23" s="47"/>
    </row>
    <row r="24" spans="2:4" ht="12.75">
      <c r="B24" s="47"/>
      <c r="C24" s="47"/>
      <c r="D24" s="47"/>
    </row>
    <row r="25" spans="1:4" ht="12.75">
      <c r="A25" s="14" t="s">
        <v>651</v>
      </c>
      <c r="B25" s="47"/>
      <c r="C25" s="47"/>
      <c r="D25" s="47"/>
    </row>
    <row r="26" spans="1:4" ht="12.75">
      <c r="A26" s="14" t="s">
        <v>640</v>
      </c>
      <c r="B26" s="47"/>
      <c r="C26" s="47"/>
      <c r="D26" s="47"/>
    </row>
    <row r="27" spans="1:4" ht="12.75">
      <c r="A27" s="14"/>
      <c r="B27" s="47"/>
      <c r="C27" s="47"/>
      <c r="D27" s="47"/>
    </row>
    <row r="28" spans="2:4" ht="12.75">
      <c r="B28" s="358" t="s">
        <v>497</v>
      </c>
      <c r="C28" s="358" t="s">
        <v>498</v>
      </c>
      <c r="D28" s="358" t="s">
        <v>218</v>
      </c>
    </row>
    <row r="29" spans="2:4" ht="12.75">
      <c r="B29" s="358"/>
      <c r="C29" s="358"/>
      <c r="D29" s="358"/>
    </row>
    <row r="30" spans="1:5" ht="12.75">
      <c r="A30" t="s">
        <v>556</v>
      </c>
      <c r="B30" s="47">
        <f>SUM(B9*10%)</f>
        <v>401.3</v>
      </c>
      <c r="C30" s="51">
        <f>SUM(C9*12%)</f>
        <v>629.64</v>
      </c>
      <c r="D30" s="361">
        <f>SUM(B30:C30)</f>
        <v>1030.94</v>
      </c>
      <c r="E30" s="152" t="s">
        <v>636</v>
      </c>
    </row>
    <row r="31" spans="1:4" ht="12.75">
      <c r="A31" t="s">
        <v>548</v>
      </c>
      <c r="B31" s="351">
        <v>528</v>
      </c>
      <c r="C31" s="351"/>
      <c r="D31" s="362">
        <f>SUM(B31:C31)</f>
        <v>528</v>
      </c>
    </row>
    <row r="32" spans="1:4" ht="12.75">
      <c r="A32" t="s">
        <v>575</v>
      </c>
      <c r="B32" s="350">
        <v>203</v>
      </c>
      <c r="C32" s="47"/>
      <c r="D32" s="362">
        <f>SUM(B32:C32)</f>
        <v>203</v>
      </c>
    </row>
    <row r="33" spans="1:4" ht="12.75">
      <c r="A33" t="s">
        <v>566</v>
      </c>
      <c r="B33" s="350">
        <v>80</v>
      </c>
      <c r="C33" s="47"/>
      <c r="D33" s="362">
        <f>SUM(B33:C33)</f>
        <v>80</v>
      </c>
    </row>
    <row r="34" spans="1:4" ht="12.75">
      <c r="A34" t="s">
        <v>565</v>
      </c>
      <c r="B34" s="438">
        <v>-88</v>
      </c>
      <c r="C34" s="318"/>
      <c r="D34" s="363">
        <f>SUM(B34:C34)</f>
        <v>-88</v>
      </c>
    </row>
    <row r="35" spans="2:4" ht="12.75">
      <c r="B35" s="47"/>
      <c r="C35" s="47"/>
      <c r="D35" s="361"/>
    </row>
    <row r="36" spans="1:4" ht="12.75">
      <c r="A36" t="s">
        <v>218</v>
      </c>
      <c r="B36" s="47">
        <f>SUM(B30:B35)</f>
        <v>1124.3</v>
      </c>
      <c r="C36" s="47">
        <f>SUM(C30:C35)</f>
        <v>629.64</v>
      </c>
      <c r="D36" s="364">
        <f>SUM(B36:C36)</f>
        <v>1753.94</v>
      </c>
    </row>
    <row r="38" spans="1:5" ht="13.5" thickBot="1">
      <c r="A38" s="23"/>
      <c r="B38" s="23"/>
      <c r="C38" s="23"/>
      <c r="D38" s="23"/>
      <c r="E38" s="23"/>
    </row>
    <row r="39" spans="1:5" ht="12.75">
      <c r="A39" s="366"/>
      <c r="B39" s="367" t="s">
        <v>372</v>
      </c>
      <c r="C39" s="367" t="s">
        <v>373</v>
      </c>
      <c r="D39" s="367" t="s">
        <v>139</v>
      </c>
      <c r="E39" s="368"/>
    </row>
    <row r="40" spans="1:5" ht="12.75">
      <c r="A40" s="369" t="s">
        <v>637</v>
      </c>
      <c r="B40" s="320">
        <f>B21</f>
        <v>39070</v>
      </c>
      <c r="C40" s="320">
        <f>C21</f>
        <v>34646</v>
      </c>
      <c r="D40" s="23">
        <f>SUM(B40:C40)</f>
        <v>73716</v>
      </c>
      <c r="E40" s="370"/>
    </row>
    <row r="41" spans="1:5" ht="12.75">
      <c r="A41" s="369" t="s">
        <v>638</v>
      </c>
      <c r="B41" s="320">
        <f>B32</f>
        <v>203</v>
      </c>
      <c r="C41" s="23"/>
      <c r="D41" s="23"/>
      <c r="E41" s="370"/>
    </row>
    <row r="42" spans="1:5" ht="12.75">
      <c r="A42" s="369" t="s">
        <v>639</v>
      </c>
      <c r="B42" s="320">
        <f>B31</f>
        <v>528</v>
      </c>
      <c r="C42" s="23"/>
      <c r="D42" s="23"/>
      <c r="E42" s="370"/>
    </row>
    <row r="43" spans="1:5" ht="12.75">
      <c r="A43" s="369" t="s">
        <v>384</v>
      </c>
      <c r="B43" s="23">
        <f>SUM(B40:B42)</f>
        <v>39801</v>
      </c>
      <c r="C43" s="23">
        <f>SUM(C40:C42)</f>
        <v>34646</v>
      </c>
      <c r="D43" s="23">
        <f>SUM(B43:C43)</f>
        <v>74447</v>
      </c>
      <c r="E43" s="370"/>
    </row>
    <row r="44" spans="1:5" ht="12.75">
      <c r="A44" s="369" t="s">
        <v>582</v>
      </c>
      <c r="B44" s="23">
        <f>-3517-4816</f>
        <v>-8333</v>
      </c>
      <c r="C44" s="23"/>
      <c r="D44" s="23"/>
      <c r="E44" s="370"/>
    </row>
    <row r="45" spans="1:5" ht="12.75">
      <c r="A45" s="369" t="s">
        <v>583</v>
      </c>
      <c r="B45" s="23">
        <f>SUM(B43:B44)</f>
        <v>31468</v>
      </c>
      <c r="C45" s="23">
        <f>SUM(C43:C44)</f>
        <v>34646</v>
      </c>
      <c r="D45" s="23">
        <f>SUM(B45:C45)</f>
        <v>66114</v>
      </c>
      <c r="E45" s="370"/>
    </row>
    <row r="46" spans="1:5" ht="12.75">
      <c r="A46" s="369" t="s">
        <v>584</v>
      </c>
      <c r="B46" s="371">
        <f>SUM(B45/D45)</f>
        <v>0.47596575611822006</v>
      </c>
      <c r="C46" s="371">
        <f>SUM(C45/D45)</f>
        <v>0.52403424388178</v>
      </c>
      <c r="D46" s="23"/>
      <c r="E46" s="370"/>
    </row>
    <row r="47" spans="1:5" ht="13.5" thickBot="1">
      <c r="A47" s="372" t="s">
        <v>652</v>
      </c>
      <c r="B47" s="373">
        <f>SUM(B46*1334)</f>
        <v>634.9383186617056</v>
      </c>
      <c r="C47" s="373">
        <f>SUM(C46*1334)</f>
        <v>699.0616813382945</v>
      </c>
      <c r="D47" s="374"/>
      <c r="E47" s="375"/>
    </row>
    <row r="49" ht="12.75">
      <c r="A49" t="s">
        <v>644</v>
      </c>
    </row>
    <row r="50" spans="1:4" ht="12.75">
      <c r="A50" t="s">
        <v>645</v>
      </c>
      <c r="B50" s="47">
        <f>SUM(B21)</f>
        <v>39070</v>
      </c>
      <c r="C50" s="47">
        <f>SUM(C21)</f>
        <v>34646</v>
      </c>
      <c r="D50" s="47">
        <f>SUM(B50:C50)</f>
        <v>73716</v>
      </c>
    </row>
    <row r="51" spans="1:4" ht="12.75">
      <c r="A51" t="s">
        <v>641</v>
      </c>
      <c r="B51" s="47">
        <f>SUM(B41:B42)</f>
        <v>731</v>
      </c>
      <c r="C51" s="47">
        <v>0</v>
      </c>
      <c r="D51" s="47">
        <f>SUM(B51:C51)</f>
        <v>731</v>
      </c>
    </row>
    <row r="52" spans="1:4" ht="12.75">
      <c r="A52" t="s">
        <v>642</v>
      </c>
      <c r="B52" s="47">
        <f>B47</f>
        <v>634.9383186617056</v>
      </c>
      <c r="C52" s="47">
        <f>C47</f>
        <v>699.0616813382945</v>
      </c>
      <c r="D52" s="47">
        <f>SUM(B52:C52)</f>
        <v>1334</v>
      </c>
    </row>
    <row r="53" spans="2:4" ht="12.75">
      <c r="B53" s="47"/>
      <c r="C53" s="47"/>
      <c r="D53" s="47"/>
    </row>
    <row r="54" spans="1:4" ht="12.75">
      <c r="A54" t="s">
        <v>643</v>
      </c>
      <c r="B54" s="47">
        <f>SUM(B50:B52)</f>
        <v>40435.938318661705</v>
      </c>
      <c r="C54" s="47">
        <f>SUM(C50:C52)</f>
        <v>35345.061681338295</v>
      </c>
      <c r="D54" s="47">
        <f>SUM(D50:D52)</f>
        <v>75781</v>
      </c>
    </row>
  </sheetData>
  <mergeCells count="1">
    <mergeCell ref="B5:D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53"/>
  <sheetViews>
    <sheetView view="pageBreakPreview" zoomScale="60" workbookViewId="0" topLeftCell="A3">
      <selection activeCell="A5" sqref="A1:IV16384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3" width="18.00390625" style="0" customWidth="1"/>
    <col min="4" max="4" width="13.140625" style="0" customWidth="1"/>
    <col min="5" max="5" width="45.28125" style="0" customWidth="1"/>
    <col min="8" max="9" width="9.140625" style="31" customWidth="1"/>
    <col min="14" max="14" width="9.140625" style="31" customWidth="1"/>
  </cols>
  <sheetData>
    <row r="3" spans="8:14" s="23" customFormat="1" ht="12.75">
      <c r="H3" s="38"/>
      <c r="I3" s="38"/>
      <c r="N3" s="38"/>
    </row>
    <row r="4" spans="1:14" s="23" customFormat="1" ht="18">
      <c r="A4" s="365" t="s">
        <v>574</v>
      </c>
      <c r="H4" s="38"/>
      <c r="I4" s="38"/>
      <c r="N4" s="38"/>
    </row>
    <row r="5" spans="1:14" s="23" customFormat="1" ht="15">
      <c r="A5" s="359"/>
      <c r="H5" s="38"/>
      <c r="I5" s="38"/>
      <c r="N5" s="38"/>
    </row>
    <row r="6" spans="1:14" s="23" customFormat="1" ht="15">
      <c r="A6" s="360" t="s">
        <v>573</v>
      </c>
      <c r="H6" s="38"/>
      <c r="I6" s="38"/>
      <c r="N6" s="38"/>
    </row>
    <row r="7" spans="2:14" s="23" customFormat="1" ht="12.75">
      <c r="B7" s="439" t="s">
        <v>544</v>
      </c>
      <c r="C7" s="439"/>
      <c r="D7" s="439"/>
      <c r="H7" s="38"/>
      <c r="I7" s="38"/>
      <c r="N7" s="38"/>
    </row>
    <row r="8" spans="2:14" s="23" customFormat="1" ht="12.75">
      <c r="B8" s="358" t="s">
        <v>497</v>
      </c>
      <c r="C8" s="358" t="s">
        <v>498</v>
      </c>
      <c r="D8" s="358" t="s">
        <v>218</v>
      </c>
      <c r="H8" s="38"/>
      <c r="I8" s="38"/>
      <c r="N8" s="38"/>
    </row>
    <row r="9" ht="12.75">
      <c r="L9" s="23"/>
    </row>
    <row r="10" spans="1:5" ht="12.75">
      <c r="A10" t="s">
        <v>545</v>
      </c>
      <c r="B10" s="47">
        <v>14182</v>
      </c>
      <c r="C10" s="47">
        <v>21830</v>
      </c>
      <c r="D10" s="47">
        <f>SUM(B10:C10)</f>
        <v>36012</v>
      </c>
      <c r="E10" t="s">
        <v>546</v>
      </c>
    </row>
    <row r="11" spans="1:4" ht="12.75">
      <c r="A11" t="s">
        <v>547</v>
      </c>
      <c r="B11" s="47">
        <v>3641</v>
      </c>
      <c r="C11" s="47">
        <v>4595</v>
      </c>
      <c r="D11" s="47">
        <f aca="true" t="shared" si="0" ref="D11:D23">SUM(B11:C11)</f>
        <v>8236</v>
      </c>
    </row>
    <row r="12" spans="1:4" ht="12.75">
      <c r="A12" t="s">
        <v>548</v>
      </c>
      <c r="B12" s="47">
        <v>3308</v>
      </c>
      <c r="C12" s="47"/>
      <c r="D12" s="47">
        <f t="shared" si="0"/>
        <v>3308</v>
      </c>
    </row>
    <row r="13" spans="1:4" ht="12.75">
      <c r="A13" t="s">
        <v>549</v>
      </c>
      <c r="B13" s="47">
        <v>4188</v>
      </c>
      <c r="C13" s="47">
        <v>4024</v>
      </c>
      <c r="D13" s="47">
        <f t="shared" si="0"/>
        <v>8212</v>
      </c>
    </row>
    <row r="14" spans="1:4" ht="12.75">
      <c r="A14" t="s">
        <v>550</v>
      </c>
      <c r="B14" s="47"/>
      <c r="C14" s="47">
        <v>2556</v>
      </c>
      <c r="D14" s="47">
        <f t="shared" si="0"/>
        <v>2556</v>
      </c>
    </row>
    <row r="15" spans="1:4" ht="12.75">
      <c r="A15" t="s">
        <v>551</v>
      </c>
      <c r="B15" s="47">
        <v>587</v>
      </c>
      <c r="C15" s="47"/>
      <c r="D15" s="47">
        <f t="shared" si="0"/>
        <v>587</v>
      </c>
    </row>
    <row r="16" spans="1:4" ht="12.75">
      <c r="A16" t="s">
        <v>552</v>
      </c>
      <c r="B16" s="47">
        <v>1428</v>
      </c>
      <c r="C16" s="47"/>
      <c r="D16" s="47">
        <f t="shared" si="0"/>
        <v>1428</v>
      </c>
    </row>
    <row r="17" spans="1:4" ht="12.75">
      <c r="A17" t="s">
        <v>553</v>
      </c>
      <c r="B17" s="47">
        <v>2229</v>
      </c>
      <c r="C17" s="47"/>
      <c r="D17" s="47">
        <f t="shared" si="0"/>
        <v>2229</v>
      </c>
    </row>
    <row r="18" spans="1:4" ht="12.75">
      <c r="A18" t="s">
        <v>12</v>
      </c>
      <c r="B18" s="47">
        <v>400</v>
      </c>
      <c r="C18" s="47"/>
      <c r="D18" s="47">
        <f t="shared" si="0"/>
        <v>400</v>
      </c>
    </row>
    <row r="19" spans="1:4" ht="12.75">
      <c r="A19" t="s">
        <v>554</v>
      </c>
      <c r="B19" s="47">
        <v>850</v>
      </c>
      <c r="C19" s="47"/>
      <c r="D19" s="47">
        <f t="shared" si="0"/>
        <v>850</v>
      </c>
    </row>
    <row r="20" spans="1:4" ht="12.75">
      <c r="A20" t="s">
        <v>123</v>
      </c>
      <c r="B20" s="47">
        <v>1767</v>
      </c>
      <c r="C20" s="47"/>
      <c r="D20" s="47">
        <f t="shared" si="0"/>
        <v>1767</v>
      </c>
    </row>
    <row r="21" spans="1:4" ht="12.75">
      <c r="A21" t="s">
        <v>555</v>
      </c>
      <c r="B21" s="318">
        <v>4301</v>
      </c>
      <c r="C21" s="318"/>
      <c r="D21" s="318">
        <f t="shared" si="0"/>
        <v>4301</v>
      </c>
    </row>
    <row r="22" spans="2:4" ht="12.75">
      <c r="B22" s="47"/>
      <c r="C22" s="47"/>
      <c r="D22" s="47" t="s">
        <v>16</v>
      </c>
    </row>
    <row r="23" spans="1:4" ht="12.75">
      <c r="A23" t="s">
        <v>218</v>
      </c>
      <c r="B23" s="47">
        <f>SUM(B10:B21)</f>
        <v>36881</v>
      </c>
      <c r="C23" s="47">
        <f>SUM(C10:C20)</f>
        <v>33005</v>
      </c>
      <c r="D23" s="47">
        <f t="shared" si="0"/>
        <v>69886</v>
      </c>
    </row>
    <row r="24" spans="2:4" ht="12.75">
      <c r="B24" s="47"/>
      <c r="C24" s="47"/>
      <c r="D24" s="47"/>
    </row>
    <row r="25" spans="2:4" ht="12.75">
      <c r="B25" s="47"/>
      <c r="C25" s="47"/>
      <c r="D25" s="47"/>
    </row>
    <row r="26" spans="2:4" ht="12.75">
      <c r="B26" s="47"/>
      <c r="C26" s="47"/>
      <c r="D26" s="47"/>
    </row>
    <row r="27" spans="1:4" ht="12.75">
      <c r="A27" s="14" t="s">
        <v>564</v>
      </c>
      <c r="B27" s="47"/>
      <c r="C27" s="47"/>
      <c r="D27" s="47"/>
    </row>
    <row r="28" spans="1:4" ht="12.75">
      <c r="A28" s="14" t="s">
        <v>557</v>
      </c>
      <c r="B28" s="47"/>
      <c r="C28" s="47"/>
      <c r="D28" s="47"/>
    </row>
    <row r="29" spans="1:4" ht="12.75">
      <c r="A29" s="14"/>
      <c r="B29" s="47"/>
      <c r="C29" s="47"/>
      <c r="D29" s="47"/>
    </row>
    <row r="30" spans="2:4" ht="12.75">
      <c r="B30" s="358" t="s">
        <v>497</v>
      </c>
      <c r="C30" s="358" t="s">
        <v>498</v>
      </c>
      <c r="D30" s="358" t="s">
        <v>218</v>
      </c>
    </row>
    <row r="31" spans="2:4" ht="12.75">
      <c r="B31" s="358"/>
      <c r="C31" s="358"/>
      <c r="D31" s="358"/>
    </row>
    <row r="32" spans="1:5" ht="12.75">
      <c r="A32" t="s">
        <v>556</v>
      </c>
      <c r="B32" s="47">
        <f>SUM(B11*11.7%)</f>
        <v>425.99699999999996</v>
      </c>
      <c r="C32" s="47">
        <v>763</v>
      </c>
      <c r="D32" s="361">
        <f>SUM(B32:C32)</f>
        <v>1188.9969999999998</v>
      </c>
      <c r="E32" s="152" t="s">
        <v>569</v>
      </c>
    </row>
    <row r="33" spans="1:4" ht="12.75">
      <c r="A33" t="s">
        <v>548</v>
      </c>
      <c r="B33" s="351">
        <v>168</v>
      </c>
      <c r="C33" s="351"/>
      <c r="D33" s="362">
        <f>SUM(B33:C33)</f>
        <v>168</v>
      </c>
    </row>
    <row r="34" spans="1:4" ht="12.75">
      <c r="A34" t="s">
        <v>575</v>
      </c>
      <c r="B34" s="47">
        <v>1144</v>
      </c>
      <c r="C34" s="47"/>
      <c r="D34" s="362">
        <f>SUM(B34:C34)</f>
        <v>1144</v>
      </c>
    </row>
    <row r="35" spans="1:4" ht="12.75">
      <c r="A35" t="s">
        <v>566</v>
      </c>
      <c r="B35" s="47">
        <v>157</v>
      </c>
      <c r="C35" s="47"/>
      <c r="D35" s="362">
        <f>SUM(B35:C35)</f>
        <v>157</v>
      </c>
    </row>
    <row r="36" spans="1:4" ht="12.75">
      <c r="A36" t="s">
        <v>565</v>
      </c>
      <c r="B36" s="318">
        <v>23</v>
      </c>
      <c r="C36" s="318"/>
      <c r="D36" s="363">
        <f>SUM(B36:C36)</f>
        <v>23</v>
      </c>
    </row>
    <row r="37" spans="2:4" ht="12.75">
      <c r="B37" s="47"/>
      <c r="C37" s="47"/>
      <c r="D37" s="361"/>
    </row>
    <row r="38" spans="1:4" ht="12.75">
      <c r="A38" t="s">
        <v>218</v>
      </c>
      <c r="B38" s="47">
        <f>SUM(B32:B37)</f>
        <v>1917.9969999999998</v>
      </c>
      <c r="C38" s="47">
        <f>SUM(C32:C37)</f>
        <v>763</v>
      </c>
      <c r="D38" s="364">
        <f>SUM(B38:C38)</f>
        <v>2680.997</v>
      </c>
    </row>
    <row r="41" spans="1:5" ht="12.75">
      <c r="A41" s="23" t="s">
        <v>576</v>
      </c>
      <c r="B41" s="23"/>
      <c r="C41" s="23"/>
      <c r="D41" s="23"/>
      <c r="E41" s="23"/>
    </row>
    <row r="42" spans="1:5" ht="12.75">
      <c r="A42" s="23" t="s">
        <v>577</v>
      </c>
      <c r="B42" s="23"/>
      <c r="C42" s="23"/>
      <c r="D42" s="23"/>
      <c r="E42" s="23"/>
    </row>
    <row r="43" spans="1:5" ht="12.75">
      <c r="A43" s="23" t="s">
        <v>578</v>
      </c>
      <c r="B43" s="23"/>
      <c r="C43" s="23"/>
      <c r="D43" s="23"/>
      <c r="E43" s="23"/>
    </row>
    <row r="44" spans="1:5" ht="13.5" thickBot="1">
      <c r="A44" s="23"/>
      <c r="B44" s="23"/>
      <c r="C44" s="23"/>
      <c r="D44" s="23"/>
      <c r="E44" s="23"/>
    </row>
    <row r="45" spans="1:5" ht="12.75">
      <c r="A45" s="366"/>
      <c r="B45" s="367" t="s">
        <v>372</v>
      </c>
      <c r="C45" s="367" t="s">
        <v>373</v>
      </c>
      <c r="D45" s="367" t="s">
        <v>139</v>
      </c>
      <c r="E45" s="368"/>
    </row>
    <row r="46" spans="1:5" ht="12.75">
      <c r="A46" s="369" t="s">
        <v>579</v>
      </c>
      <c r="B46" s="23">
        <v>36881</v>
      </c>
      <c r="C46" s="23">
        <v>33005</v>
      </c>
      <c r="D46" s="23">
        <f>SUM(B46:C46)</f>
        <v>69886</v>
      </c>
      <c r="E46" s="370"/>
    </row>
    <row r="47" spans="1:5" ht="12.75">
      <c r="A47" s="369" t="s">
        <v>580</v>
      </c>
      <c r="B47" s="23">
        <v>1144</v>
      </c>
      <c r="C47" s="23"/>
      <c r="D47" s="23"/>
      <c r="E47" s="370"/>
    </row>
    <row r="48" spans="1:5" ht="12.75">
      <c r="A48" s="369" t="s">
        <v>581</v>
      </c>
      <c r="B48" s="23">
        <v>168</v>
      </c>
      <c r="C48" s="23"/>
      <c r="D48" s="23"/>
      <c r="E48" s="370"/>
    </row>
    <row r="49" spans="1:5" ht="12.75">
      <c r="A49" s="369" t="s">
        <v>384</v>
      </c>
      <c r="B49" s="23">
        <f>SUM(B46:B48)</f>
        <v>38193</v>
      </c>
      <c r="C49" s="23">
        <v>33005</v>
      </c>
      <c r="D49" s="23">
        <f>SUM(B49:C49)</f>
        <v>71198</v>
      </c>
      <c r="E49" s="370"/>
    </row>
    <row r="50" spans="1:5" ht="12.75">
      <c r="A50" s="369" t="s">
        <v>582</v>
      </c>
      <c r="B50" s="23">
        <f>-4301-1144-3308-168</f>
        <v>-8921</v>
      </c>
      <c r="C50" s="23"/>
      <c r="D50" s="23"/>
      <c r="E50" s="370"/>
    </row>
    <row r="51" spans="1:5" ht="12.75">
      <c r="A51" s="369" t="s">
        <v>583</v>
      </c>
      <c r="B51" s="23">
        <f>SUM(B49:B50)</f>
        <v>29272</v>
      </c>
      <c r="C51" s="23">
        <v>33005</v>
      </c>
      <c r="D51" s="23">
        <f>SUM(B51:C51)</f>
        <v>62277</v>
      </c>
      <c r="E51" s="370"/>
    </row>
    <row r="52" spans="1:5" ht="12.75">
      <c r="A52" s="369" t="s">
        <v>584</v>
      </c>
      <c r="B52" s="371">
        <f>SUM(B51/D51)</f>
        <v>0.47002906369927905</v>
      </c>
      <c r="C52" s="371">
        <f>SUM(C51/D51)</f>
        <v>0.529970936300721</v>
      </c>
      <c r="D52" s="23"/>
      <c r="E52" s="370"/>
    </row>
    <row r="53" spans="1:5" ht="13.5" thickBot="1">
      <c r="A53" s="372" t="s">
        <v>585</v>
      </c>
      <c r="B53" s="373">
        <f>SUM(B52*1585)</f>
        <v>744.9960659633573</v>
      </c>
      <c r="C53" s="373">
        <f>SUM(C52*1585)</f>
        <v>840.0039340366428</v>
      </c>
      <c r="D53" s="374"/>
      <c r="E53" s="375"/>
    </row>
  </sheetData>
  <mergeCells count="1">
    <mergeCell ref="B7:D7"/>
  </mergeCells>
  <printOptions/>
  <pageMargins left="0.5" right="0.5" top="0.25" bottom="0.25" header="0.5" footer="0.5"/>
  <pageSetup fitToHeight="3" horizontalDpi="600" verticalDpi="600" orientation="landscape" scale="66" r:id="rId1"/>
  <headerFooter alignWithMargins="0">
    <oddFooter>&amp;L&amp;P&amp;C&amp;D&amp;R&amp;F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="60" workbookViewId="0" topLeftCell="A76">
      <selection activeCell="A85" sqref="A85"/>
    </sheetView>
  </sheetViews>
  <sheetFormatPr defaultColWidth="9.140625" defaultRowHeight="12.75"/>
  <cols>
    <col min="1" max="1" width="26.140625" style="0" customWidth="1"/>
    <col min="2" max="2" width="15.28125" style="0" customWidth="1"/>
    <col min="3" max="3" width="2.421875" style="0" customWidth="1"/>
    <col min="4" max="4" width="15.28125" style="0" customWidth="1"/>
    <col min="5" max="5" width="7.57421875" style="0" bestFit="1" customWidth="1"/>
    <col min="6" max="6" width="11.57421875" style="0" bestFit="1" customWidth="1"/>
    <col min="7" max="7" width="49.421875" style="0" customWidth="1"/>
    <col min="9" max="9" width="0.13671875" style="0" customWidth="1"/>
    <col min="11" max="11" width="3.8515625" style="0" customWidth="1"/>
    <col min="14" max="14" width="14.7109375" style="0" bestFit="1" customWidth="1"/>
    <col min="15" max="15" width="15.57421875" style="0" customWidth="1"/>
  </cols>
  <sheetData>
    <row r="1" spans="1:16" ht="15">
      <c r="A1" s="328"/>
      <c r="B1" s="329"/>
      <c r="C1" s="329"/>
      <c r="D1" s="329"/>
      <c r="E1" s="329"/>
      <c r="F1" s="329"/>
      <c r="G1" s="329"/>
      <c r="H1" s="329"/>
      <c r="I1" s="329"/>
      <c r="J1" s="329"/>
      <c r="K1" s="23"/>
      <c r="L1" s="23"/>
      <c r="M1" s="23"/>
      <c r="N1" s="23"/>
      <c r="O1" s="23"/>
      <c r="P1" s="23"/>
    </row>
    <row r="2" spans="1:16" ht="20.25">
      <c r="A2" s="440" t="s">
        <v>418</v>
      </c>
      <c r="B2" s="440"/>
      <c r="C2" s="440"/>
      <c r="D2" s="440"/>
      <c r="E2" s="440"/>
      <c r="F2" s="440"/>
      <c r="G2" s="440"/>
      <c r="H2" s="329"/>
      <c r="I2" s="329"/>
      <c r="J2" s="329"/>
      <c r="K2" s="23"/>
      <c r="L2" s="23"/>
      <c r="M2" s="23"/>
      <c r="N2" s="23"/>
      <c r="O2" s="23"/>
      <c r="P2" s="23"/>
    </row>
    <row r="3" spans="1:16" ht="15">
      <c r="A3" s="329"/>
      <c r="B3" s="329"/>
      <c r="C3" s="329"/>
      <c r="D3" s="329"/>
      <c r="E3" s="331"/>
      <c r="F3" s="329"/>
      <c r="G3" s="329"/>
      <c r="H3" s="329"/>
      <c r="I3" s="329"/>
      <c r="J3" s="329"/>
      <c r="K3" s="23"/>
      <c r="L3" s="23"/>
      <c r="M3" s="23"/>
      <c r="N3" s="23"/>
      <c r="O3" s="23"/>
      <c r="P3" s="23"/>
    </row>
    <row r="4" spans="1:16" ht="15.75">
      <c r="A4" s="332"/>
      <c r="B4" s="340" t="s">
        <v>419</v>
      </c>
      <c r="C4" s="340"/>
      <c r="D4" s="340" t="s">
        <v>422</v>
      </c>
      <c r="E4" s="340"/>
      <c r="F4" s="340"/>
      <c r="G4" s="340"/>
      <c r="H4" s="329"/>
      <c r="I4" s="333"/>
      <c r="J4" s="329"/>
      <c r="K4" s="23"/>
      <c r="L4" s="23"/>
      <c r="M4" s="23"/>
      <c r="N4" s="58"/>
      <c r="O4" s="23"/>
      <c r="P4" s="23"/>
    </row>
    <row r="5" spans="1:16" ht="15">
      <c r="A5" s="329"/>
      <c r="B5" s="340" t="s">
        <v>420</v>
      </c>
      <c r="C5" s="340"/>
      <c r="D5" s="340" t="s">
        <v>423</v>
      </c>
      <c r="E5" s="340"/>
      <c r="F5" s="340"/>
      <c r="G5" s="340"/>
      <c r="H5" s="329"/>
      <c r="I5" s="333"/>
      <c r="J5" s="329"/>
      <c r="K5" s="23"/>
      <c r="L5" s="23"/>
      <c r="M5" s="23"/>
      <c r="N5" s="58"/>
      <c r="O5" s="23"/>
      <c r="P5" s="23"/>
    </row>
    <row r="6" spans="1:16" ht="15">
      <c r="A6" s="341" t="s">
        <v>442</v>
      </c>
      <c r="B6" s="341" t="s">
        <v>421</v>
      </c>
      <c r="C6" s="341"/>
      <c r="D6" s="341" t="s">
        <v>430</v>
      </c>
      <c r="E6" s="342"/>
      <c r="F6" s="341" t="s">
        <v>431</v>
      </c>
      <c r="G6" s="343" t="s">
        <v>436</v>
      </c>
      <c r="H6" s="329"/>
      <c r="I6" s="334"/>
      <c r="J6" s="329"/>
      <c r="K6" s="23"/>
      <c r="L6" s="23"/>
      <c r="M6" s="23"/>
      <c r="N6" s="23"/>
      <c r="O6" s="23"/>
      <c r="P6" s="23"/>
    </row>
    <row r="7" spans="1:16" ht="15">
      <c r="A7" s="329"/>
      <c r="B7" s="329"/>
      <c r="C7" s="329"/>
      <c r="D7" s="329"/>
      <c r="E7" s="334"/>
      <c r="F7" s="329"/>
      <c r="G7" s="329"/>
      <c r="H7" s="329"/>
      <c r="I7" s="329"/>
      <c r="J7" s="329"/>
      <c r="K7" s="23"/>
      <c r="L7" s="23"/>
      <c r="M7" s="23"/>
      <c r="N7" s="23"/>
      <c r="O7" s="23"/>
      <c r="P7" s="23"/>
    </row>
    <row r="8" spans="1:16" ht="15">
      <c r="A8" s="329" t="s">
        <v>424</v>
      </c>
      <c r="B8" s="336">
        <v>13735</v>
      </c>
      <c r="C8" s="336"/>
      <c r="D8" s="336">
        <v>14089</v>
      </c>
      <c r="E8" s="336"/>
      <c r="F8" s="336">
        <f>SUM(D8-B8)</f>
        <v>354</v>
      </c>
      <c r="G8" s="329" t="s">
        <v>432</v>
      </c>
      <c r="H8" s="329"/>
      <c r="I8" s="333"/>
      <c r="J8" s="329"/>
      <c r="K8" s="23"/>
      <c r="L8" s="23"/>
      <c r="M8" s="23"/>
      <c r="N8" s="24"/>
      <c r="O8" s="23"/>
      <c r="P8" s="23"/>
    </row>
    <row r="9" spans="1:16" ht="15">
      <c r="A9" s="329" t="s">
        <v>129</v>
      </c>
      <c r="B9" s="336">
        <v>4136</v>
      </c>
      <c r="C9" s="336"/>
      <c r="D9" s="336">
        <v>3657</v>
      </c>
      <c r="E9" s="336"/>
      <c r="F9" s="336">
        <f aca="true" t="shared" si="0" ref="F9:F20">SUM(D9-B9)</f>
        <v>-479</v>
      </c>
      <c r="G9" s="329" t="s">
        <v>433</v>
      </c>
      <c r="H9" s="329"/>
      <c r="I9" s="329"/>
      <c r="J9" s="329"/>
      <c r="K9" s="23"/>
      <c r="L9" s="23"/>
      <c r="M9" s="23"/>
      <c r="N9" s="23"/>
      <c r="O9" s="23"/>
      <c r="P9" s="23"/>
    </row>
    <row r="10" spans="1:16" ht="15">
      <c r="A10" s="329" t="s">
        <v>154</v>
      </c>
      <c r="B10" s="336">
        <v>3365</v>
      </c>
      <c r="C10" s="336"/>
      <c r="D10" s="336">
        <v>3425</v>
      </c>
      <c r="E10" s="336"/>
      <c r="F10" s="336">
        <f t="shared" si="0"/>
        <v>60</v>
      </c>
      <c r="G10" s="329"/>
      <c r="H10" s="329"/>
      <c r="I10" s="336"/>
      <c r="J10" s="329"/>
      <c r="K10" s="23"/>
      <c r="L10" s="23"/>
      <c r="M10" s="23"/>
      <c r="N10" s="319"/>
      <c r="O10" s="23"/>
      <c r="P10" s="23"/>
    </row>
    <row r="11" spans="1:16" ht="15">
      <c r="A11" s="335" t="s">
        <v>425</v>
      </c>
      <c r="B11" s="338">
        <v>563</v>
      </c>
      <c r="C11" s="336"/>
      <c r="D11" s="338">
        <v>563</v>
      </c>
      <c r="E11" s="336"/>
      <c r="F11" s="336">
        <f t="shared" si="0"/>
        <v>0</v>
      </c>
      <c r="G11" s="329"/>
      <c r="H11" s="329"/>
      <c r="I11" s="336"/>
      <c r="J11" s="329"/>
      <c r="K11" s="23"/>
      <c r="L11" s="23"/>
      <c r="M11" s="23"/>
      <c r="N11" s="319"/>
      <c r="O11" s="23"/>
      <c r="P11" s="23"/>
    </row>
    <row r="12" spans="1:16" ht="15">
      <c r="A12" s="335" t="s">
        <v>426</v>
      </c>
      <c r="B12" s="338">
        <v>1504</v>
      </c>
      <c r="C12" s="336"/>
      <c r="D12" s="338">
        <v>1508</v>
      </c>
      <c r="E12" s="338"/>
      <c r="F12" s="336">
        <f t="shared" si="0"/>
        <v>4</v>
      </c>
      <c r="G12" s="329"/>
      <c r="H12" s="329"/>
      <c r="I12" s="329"/>
      <c r="J12" s="329"/>
      <c r="K12" s="23"/>
      <c r="L12" s="23"/>
      <c r="M12" s="23"/>
      <c r="N12" s="23"/>
      <c r="O12" s="23"/>
      <c r="P12" s="23"/>
    </row>
    <row r="13" spans="1:16" ht="15">
      <c r="A13" s="335" t="s">
        <v>397</v>
      </c>
      <c r="B13" s="338">
        <v>4170</v>
      </c>
      <c r="C13" s="336"/>
      <c r="D13" s="338">
        <v>4215</v>
      </c>
      <c r="E13" s="336"/>
      <c r="F13" s="336">
        <f t="shared" si="0"/>
        <v>45</v>
      </c>
      <c r="G13" s="329" t="s">
        <v>441</v>
      </c>
      <c r="H13" s="329"/>
      <c r="I13" s="329"/>
      <c r="J13" s="329"/>
      <c r="K13" s="23"/>
      <c r="L13" s="23"/>
      <c r="M13" s="23"/>
      <c r="N13" s="23"/>
      <c r="O13" s="23"/>
      <c r="P13" s="23"/>
    </row>
    <row r="14" spans="1:16" ht="15">
      <c r="A14" s="335" t="s">
        <v>181</v>
      </c>
      <c r="B14" s="338">
        <v>2213</v>
      </c>
      <c r="C14" s="336"/>
      <c r="D14" s="338">
        <v>2229</v>
      </c>
      <c r="E14" s="336"/>
      <c r="F14" s="336">
        <f t="shared" si="0"/>
        <v>16</v>
      </c>
      <c r="G14" s="329"/>
      <c r="H14" s="329"/>
      <c r="I14" s="329"/>
      <c r="J14" s="329"/>
      <c r="K14" s="23"/>
      <c r="L14" s="23"/>
      <c r="M14" s="23"/>
      <c r="N14" s="23"/>
      <c r="O14" s="23"/>
      <c r="P14" s="23"/>
    </row>
    <row r="15" spans="1:16" ht="15.75">
      <c r="A15" s="335" t="s">
        <v>427</v>
      </c>
      <c r="B15" s="338">
        <v>400</v>
      </c>
      <c r="C15" s="336"/>
      <c r="D15" s="338">
        <v>400</v>
      </c>
      <c r="E15" s="338"/>
      <c r="F15" s="336">
        <f t="shared" si="0"/>
        <v>0</v>
      </c>
      <c r="G15" s="332"/>
      <c r="H15" s="329"/>
      <c r="I15" s="329"/>
      <c r="J15" s="329"/>
      <c r="K15" s="23"/>
      <c r="L15" s="304"/>
      <c r="M15" s="304"/>
      <c r="N15" s="23"/>
      <c r="O15" s="23"/>
      <c r="P15" s="23"/>
    </row>
    <row r="16" spans="1:16" ht="15.75">
      <c r="A16" s="335" t="s">
        <v>428</v>
      </c>
      <c r="B16" s="338">
        <v>850</v>
      </c>
      <c r="C16" s="336"/>
      <c r="D16" s="338">
        <v>850</v>
      </c>
      <c r="E16" s="336"/>
      <c r="F16" s="336">
        <f t="shared" si="0"/>
        <v>0</v>
      </c>
      <c r="G16" s="330"/>
      <c r="H16" s="329"/>
      <c r="I16" s="329"/>
      <c r="J16" s="329"/>
      <c r="K16" s="23"/>
      <c r="L16" s="68"/>
      <c r="M16" s="23"/>
      <c r="N16" s="23"/>
      <c r="O16" s="23"/>
      <c r="P16" s="23"/>
    </row>
    <row r="17" spans="1:16" ht="18">
      <c r="A17" s="335" t="s">
        <v>137</v>
      </c>
      <c r="B17" s="338">
        <v>2200</v>
      </c>
      <c r="C17" s="339"/>
      <c r="D17" s="338">
        <v>1994</v>
      </c>
      <c r="E17" s="338"/>
      <c r="F17" s="336">
        <f t="shared" si="0"/>
        <v>-206</v>
      </c>
      <c r="G17" s="329" t="s">
        <v>434</v>
      </c>
      <c r="H17" s="329"/>
      <c r="I17" s="336"/>
      <c r="J17" s="329"/>
      <c r="K17" s="23"/>
      <c r="L17" s="23"/>
      <c r="M17" s="23"/>
      <c r="N17" s="319"/>
      <c r="O17" s="23"/>
      <c r="P17" s="23"/>
    </row>
    <row r="18" spans="1:16" ht="18">
      <c r="A18" s="335"/>
      <c r="B18" s="338"/>
      <c r="C18" s="339"/>
      <c r="D18" s="338"/>
      <c r="E18" s="338"/>
      <c r="F18" s="336"/>
      <c r="G18" s="329" t="s">
        <v>440</v>
      </c>
      <c r="H18" s="329"/>
      <c r="I18" s="336"/>
      <c r="J18" s="329"/>
      <c r="K18" s="23"/>
      <c r="L18" s="23"/>
      <c r="M18" s="23"/>
      <c r="N18" s="319"/>
      <c r="O18" s="23"/>
      <c r="P18" s="23"/>
    </row>
    <row r="19" spans="1:16" ht="15">
      <c r="A19" s="335" t="s">
        <v>196</v>
      </c>
      <c r="B19" s="338">
        <v>4137</v>
      </c>
      <c r="C19" s="336"/>
      <c r="D19" s="338">
        <v>4139</v>
      </c>
      <c r="E19" s="336"/>
      <c r="F19" s="336">
        <f t="shared" si="0"/>
        <v>2</v>
      </c>
      <c r="G19" s="329"/>
      <c r="H19" s="329"/>
      <c r="I19" s="336"/>
      <c r="J19" s="329"/>
      <c r="K19" s="23"/>
      <c r="L19" s="23"/>
      <c r="M19" s="23"/>
      <c r="N19" s="319"/>
      <c r="O19" s="23"/>
      <c r="P19" s="23"/>
    </row>
    <row r="20" spans="1:16" ht="15">
      <c r="A20" s="335" t="s">
        <v>429</v>
      </c>
      <c r="B20" s="344">
        <v>0</v>
      </c>
      <c r="C20" s="345"/>
      <c r="D20" s="344">
        <v>125</v>
      </c>
      <c r="E20" s="345"/>
      <c r="F20" s="345">
        <f t="shared" si="0"/>
        <v>125</v>
      </c>
      <c r="G20" s="329" t="s">
        <v>435</v>
      </c>
      <c r="H20" s="329"/>
      <c r="I20" s="336"/>
      <c r="J20" s="329"/>
      <c r="K20" s="23"/>
      <c r="L20" s="23"/>
      <c r="M20" s="23"/>
      <c r="N20" s="319"/>
      <c r="O20" s="23"/>
      <c r="P20" s="23"/>
    </row>
    <row r="21" spans="1:16" ht="15">
      <c r="A21" s="329"/>
      <c r="B21" s="336"/>
      <c r="C21" s="336"/>
      <c r="D21" s="336"/>
      <c r="E21" s="336"/>
      <c r="F21" s="336"/>
      <c r="G21" s="329"/>
      <c r="H21" s="329"/>
      <c r="I21" s="336"/>
      <c r="J21" s="329"/>
      <c r="K21" s="23"/>
      <c r="L21" s="23"/>
      <c r="M21" s="23"/>
      <c r="N21" s="319"/>
      <c r="O21" s="23"/>
      <c r="P21" s="23"/>
    </row>
    <row r="22" spans="1:16" ht="15">
      <c r="A22" s="329" t="s">
        <v>443</v>
      </c>
      <c r="B22" s="336">
        <f>SUM(B8:B21)</f>
        <v>37273</v>
      </c>
      <c r="C22" s="336"/>
      <c r="D22" s="336">
        <f>SUM(D8:D21)</f>
        <v>37194</v>
      </c>
      <c r="E22" s="336"/>
      <c r="F22" s="338">
        <f>SUM(F8:F21)</f>
        <v>-79</v>
      </c>
      <c r="G22" s="329" t="s">
        <v>454</v>
      </c>
      <c r="H22" s="329"/>
      <c r="I22" s="336"/>
      <c r="J22" s="329"/>
      <c r="K22" s="23"/>
      <c r="L22" s="23"/>
      <c r="M22" s="23"/>
      <c r="N22" s="319"/>
      <c r="O22" s="23"/>
      <c r="P22" s="23"/>
    </row>
    <row r="23" spans="1:16" ht="15">
      <c r="A23" s="329"/>
      <c r="B23" s="336"/>
      <c r="C23" s="336"/>
      <c r="D23" s="336"/>
      <c r="E23" s="336"/>
      <c r="F23" s="338"/>
      <c r="G23" s="329"/>
      <c r="H23" s="329"/>
      <c r="I23" s="336"/>
      <c r="J23" s="329"/>
      <c r="K23" s="23"/>
      <c r="L23" s="23"/>
      <c r="M23" s="23"/>
      <c r="N23" s="319"/>
      <c r="O23" s="23"/>
      <c r="P23" s="23"/>
    </row>
    <row r="24" spans="1:16" ht="15">
      <c r="A24" s="329" t="s">
        <v>453</v>
      </c>
      <c r="B24" s="329"/>
      <c r="C24" s="329"/>
      <c r="D24" s="329"/>
      <c r="E24" s="329"/>
      <c r="F24" s="329"/>
      <c r="G24" s="329"/>
      <c r="H24" s="329"/>
      <c r="I24" s="336"/>
      <c r="J24" s="329"/>
      <c r="K24" s="23"/>
      <c r="L24" s="23"/>
      <c r="M24" s="23"/>
      <c r="N24" s="319"/>
      <c r="O24" s="23"/>
      <c r="P24" s="23"/>
    </row>
    <row r="25" spans="1:16" ht="15">
      <c r="A25" s="329" t="s">
        <v>445</v>
      </c>
      <c r="B25" s="329"/>
      <c r="C25" s="329"/>
      <c r="D25" s="329"/>
      <c r="E25" s="333"/>
      <c r="F25" s="329"/>
      <c r="G25" s="329"/>
      <c r="H25" s="329"/>
      <c r="I25" s="336"/>
      <c r="J25" s="329"/>
      <c r="K25" s="23"/>
      <c r="L25" s="23"/>
      <c r="M25" s="23"/>
      <c r="N25" s="319"/>
      <c r="O25" s="23"/>
      <c r="P25" s="23"/>
    </row>
    <row r="26" spans="1:16" ht="15">
      <c r="A26" s="329" t="s">
        <v>444</v>
      </c>
      <c r="B26" s="329"/>
      <c r="C26" s="329"/>
      <c r="D26" s="329"/>
      <c r="E26" s="333"/>
      <c r="F26" s="329"/>
      <c r="G26" s="329"/>
      <c r="H26" s="329"/>
      <c r="I26" s="336"/>
      <c r="J26" s="329"/>
      <c r="K26" s="23"/>
      <c r="L26" s="23"/>
      <c r="M26" s="23"/>
      <c r="N26" s="319"/>
      <c r="O26" s="23"/>
      <c r="P26" s="23"/>
    </row>
    <row r="27" spans="1:16" ht="15">
      <c r="A27" s="335" t="s">
        <v>437</v>
      </c>
      <c r="B27" s="329"/>
      <c r="C27" s="329"/>
      <c r="D27" s="329"/>
      <c r="E27" s="333"/>
      <c r="F27" s="329"/>
      <c r="G27" s="329"/>
      <c r="H27" s="329"/>
      <c r="I27" s="336"/>
      <c r="J27" s="329"/>
      <c r="K27" s="23"/>
      <c r="L27" s="23"/>
      <c r="M27" s="23"/>
      <c r="N27" s="319"/>
      <c r="O27" s="23"/>
      <c r="P27" s="23"/>
    </row>
    <row r="28" spans="1:16" ht="15">
      <c r="A28" s="335" t="s">
        <v>438</v>
      </c>
      <c r="B28" s="329"/>
      <c r="C28" s="329"/>
      <c r="D28" s="329"/>
      <c r="E28" s="333"/>
      <c r="F28" s="329"/>
      <c r="G28" s="329"/>
      <c r="H28" s="329"/>
      <c r="I28" s="336"/>
      <c r="J28" s="329"/>
      <c r="K28" s="23"/>
      <c r="L28" s="23"/>
      <c r="M28" s="23"/>
      <c r="N28" s="319"/>
      <c r="O28" s="23"/>
      <c r="P28" s="23"/>
    </row>
    <row r="29" spans="1:16" ht="15">
      <c r="A29" s="335" t="s">
        <v>439</v>
      </c>
      <c r="B29" s="329"/>
      <c r="C29" s="329"/>
      <c r="D29" s="329"/>
      <c r="E29" s="333"/>
      <c r="F29" s="329"/>
      <c r="G29" s="329"/>
      <c r="H29" s="329"/>
      <c r="I29" s="336"/>
      <c r="J29" s="329"/>
      <c r="K29" s="23"/>
      <c r="L29" s="23"/>
      <c r="M29" s="23"/>
      <c r="N29" s="319"/>
      <c r="O29" s="23"/>
      <c r="P29" s="23"/>
    </row>
    <row r="30" spans="1:16" ht="15">
      <c r="A30" s="329"/>
      <c r="B30" s="329"/>
      <c r="C30" s="329"/>
      <c r="D30" s="329"/>
      <c r="E30" s="334"/>
      <c r="F30" s="329"/>
      <c r="G30" s="329"/>
      <c r="H30" s="329"/>
      <c r="I30" s="336"/>
      <c r="J30" s="329"/>
      <c r="K30" s="23"/>
      <c r="L30" s="23"/>
      <c r="M30" s="23"/>
      <c r="N30" s="319"/>
      <c r="O30" s="23"/>
      <c r="P30" s="23"/>
    </row>
    <row r="31" spans="1:16" ht="15">
      <c r="A31" s="329" t="s">
        <v>446</v>
      </c>
      <c r="B31" s="336">
        <v>79790144</v>
      </c>
      <c r="C31" s="329"/>
      <c r="D31" s="329"/>
      <c r="E31" s="329"/>
      <c r="F31" s="329"/>
      <c r="G31" s="329"/>
      <c r="H31" s="329"/>
      <c r="I31" s="329"/>
      <c r="J31" s="329"/>
      <c r="K31" s="23"/>
      <c r="L31" s="23"/>
      <c r="M31" s="23"/>
      <c r="N31" s="23"/>
      <c r="O31" s="23"/>
      <c r="P31" s="23"/>
    </row>
    <row r="32" spans="1:16" ht="15">
      <c r="A32" s="329" t="s">
        <v>447</v>
      </c>
      <c r="B32" s="336">
        <v>-10596505</v>
      </c>
      <c r="C32" s="329"/>
      <c r="D32" s="329"/>
      <c r="E32" s="333"/>
      <c r="F32" s="329"/>
      <c r="G32" s="329"/>
      <c r="H32" s="329"/>
      <c r="I32" s="336"/>
      <c r="J32" s="329"/>
      <c r="K32" s="23"/>
      <c r="L32" s="23"/>
      <c r="M32" s="23"/>
      <c r="N32" s="320"/>
      <c r="O32" s="23"/>
      <c r="P32" s="23"/>
    </row>
    <row r="33" spans="1:16" ht="15">
      <c r="A33" s="329" t="s">
        <v>448</v>
      </c>
      <c r="B33" s="336">
        <v>-31754673</v>
      </c>
      <c r="C33" s="329"/>
      <c r="D33" s="329" t="s">
        <v>449</v>
      </c>
      <c r="E33" s="333"/>
      <c r="F33" s="329"/>
      <c r="G33" s="329"/>
      <c r="H33" s="329"/>
      <c r="I33" s="336"/>
      <c r="J33" s="329"/>
      <c r="K33" s="23"/>
      <c r="L33" s="23"/>
      <c r="M33" s="23"/>
      <c r="N33" s="319"/>
      <c r="O33" s="23"/>
      <c r="P33" s="23"/>
    </row>
    <row r="34" spans="1:16" ht="15">
      <c r="A34" s="329" t="s">
        <v>450</v>
      </c>
      <c r="B34" s="345">
        <v>-249340</v>
      </c>
      <c r="C34" s="329"/>
      <c r="D34" s="329"/>
      <c r="E34" s="329"/>
      <c r="F34" s="329"/>
      <c r="G34" s="329"/>
      <c r="H34" s="329"/>
      <c r="I34" s="336"/>
      <c r="J34" s="329"/>
      <c r="K34" s="23"/>
      <c r="L34" s="23"/>
      <c r="M34" s="23"/>
      <c r="N34" s="23"/>
      <c r="O34" s="23"/>
      <c r="P34" s="23"/>
    </row>
    <row r="35" spans="1:16" ht="15">
      <c r="A35" s="337" t="s">
        <v>452</v>
      </c>
      <c r="B35" s="346">
        <f>SUM(B31:B34)</f>
        <v>37189626</v>
      </c>
      <c r="C35" s="337"/>
      <c r="D35" s="329" t="s">
        <v>451</v>
      </c>
      <c r="E35" s="333"/>
      <c r="F35" s="329"/>
      <c r="G35" s="329"/>
      <c r="H35" s="329"/>
      <c r="I35" s="329"/>
      <c r="J35" s="329"/>
      <c r="K35" s="23"/>
      <c r="L35" s="23"/>
      <c r="M35" s="23"/>
      <c r="N35" s="23"/>
      <c r="O35" s="23"/>
      <c r="P35" s="23"/>
    </row>
    <row r="36" spans="1:16" ht="15">
      <c r="A36" s="337"/>
      <c r="B36" s="337"/>
      <c r="C36" s="337"/>
      <c r="D36" s="329"/>
      <c r="E36" s="329"/>
      <c r="F36" s="329"/>
      <c r="G36" s="329"/>
      <c r="H36" s="329"/>
      <c r="I36" s="336"/>
      <c r="J36" s="329"/>
      <c r="K36" s="23"/>
      <c r="L36" s="23"/>
      <c r="M36" s="23"/>
      <c r="N36" s="320"/>
      <c r="O36" s="23"/>
      <c r="P36" s="23"/>
    </row>
    <row r="37" spans="1:16" ht="15">
      <c r="A37" s="337"/>
      <c r="B37" s="337"/>
      <c r="C37" s="337"/>
      <c r="D37" s="329"/>
      <c r="E37" s="329"/>
      <c r="F37" s="329"/>
      <c r="G37" s="329"/>
      <c r="H37" s="329"/>
      <c r="I37" s="336"/>
      <c r="J37" s="329"/>
      <c r="K37" s="23"/>
      <c r="L37" s="23"/>
      <c r="M37" s="23"/>
      <c r="N37" s="320"/>
      <c r="O37" s="23"/>
      <c r="P37" s="23"/>
    </row>
    <row r="38" spans="1:16" ht="15">
      <c r="A38" s="337"/>
      <c r="B38" s="337"/>
      <c r="C38" s="337"/>
      <c r="D38" s="329"/>
      <c r="E38" s="329"/>
      <c r="F38" s="329"/>
      <c r="G38" s="329"/>
      <c r="H38" s="329"/>
      <c r="I38" s="336"/>
      <c r="J38" s="329"/>
      <c r="K38" s="23"/>
      <c r="L38" s="23"/>
      <c r="M38" s="23"/>
      <c r="N38" s="320"/>
      <c r="O38" s="23"/>
      <c r="P38" s="23"/>
    </row>
    <row r="39" spans="1:16" ht="15">
      <c r="A39" s="337"/>
      <c r="B39" s="337"/>
      <c r="C39" s="337"/>
      <c r="D39" s="329"/>
      <c r="E39" s="329"/>
      <c r="F39" s="329"/>
      <c r="G39" s="329"/>
      <c r="H39" s="329"/>
      <c r="I39" s="336"/>
      <c r="J39" s="329"/>
      <c r="K39" s="23"/>
      <c r="L39" s="23"/>
      <c r="M39" s="23"/>
      <c r="N39" s="320"/>
      <c r="O39" s="23"/>
      <c r="P39" s="23"/>
    </row>
    <row r="40" spans="1:16" ht="20.25">
      <c r="A40" s="440" t="s">
        <v>462</v>
      </c>
      <c r="B40" s="440"/>
      <c r="C40" s="440"/>
      <c r="D40" s="440"/>
      <c r="E40" s="440"/>
      <c r="F40" s="440"/>
      <c r="G40" s="440"/>
      <c r="H40" s="329"/>
      <c r="I40" s="329"/>
      <c r="J40" s="329"/>
      <c r="K40" s="23"/>
      <c r="L40" s="23"/>
      <c r="M40" s="23"/>
      <c r="N40" s="23"/>
      <c r="O40" s="23"/>
      <c r="P40" s="23"/>
    </row>
    <row r="41" spans="1:16" ht="15">
      <c r="A41" s="337"/>
      <c r="B41" s="337"/>
      <c r="C41" s="337"/>
      <c r="D41" s="329"/>
      <c r="E41" s="329"/>
      <c r="F41" s="329"/>
      <c r="G41" s="329"/>
      <c r="H41" s="329"/>
      <c r="I41" s="336"/>
      <c r="J41" s="329"/>
      <c r="K41" s="23"/>
      <c r="L41" s="23"/>
      <c r="M41" s="23"/>
      <c r="N41" s="319"/>
      <c r="O41" s="23"/>
      <c r="P41" s="23"/>
    </row>
    <row r="42" spans="1:16" ht="15">
      <c r="A42" s="337"/>
      <c r="B42" s="337"/>
      <c r="C42" s="337"/>
      <c r="D42" s="337" t="s">
        <v>469</v>
      </c>
      <c r="E42" s="337"/>
      <c r="F42" s="329"/>
      <c r="G42" s="329"/>
      <c r="H42" s="329"/>
      <c r="I42" s="336"/>
      <c r="J42" s="329"/>
      <c r="K42" s="23"/>
      <c r="L42" s="23"/>
      <c r="M42" s="23"/>
      <c r="N42" s="320"/>
      <c r="O42" s="23"/>
      <c r="P42" s="23"/>
    </row>
    <row r="43" spans="1:16" ht="15.75">
      <c r="A43" s="332"/>
      <c r="B43" s="340" t="s">
        <v>419</v>
      </c>
      <c r="C43" s="340"/>
      <c r="D43" s="340" t="s">
        <v>455</v>
      </c>
      <c r="E43" s="340"/>
      <c r="F43" s="340"/>
      <c r="G43" s="340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5">
      <c r="A44" s="329"/>
      <c r="B44" s="340" t="s">
        <v>420</v>
      </c>
      <c r="C44" s="340"/>
      <c r="D44" s="340" t="s">
        <v>423</v>
      </c>
      <c r="E44" s="340"/>
      <c r="F44" s="340"/>
      <c r="G44" s="340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5">
      <c r="A45" s="341" t="s">
        <v>442</v>
      </c>
      <c r="B45" s="341" t="s">
        <v>421</v>
      </c>
      <c r="C45" s="341"/>
      <c r="D45" s="341" t="s">
        <v>430</v>
      </c>
      <c r="E45" s="342"/>
      <c r="F45" s="341" t="s">
        <v>431</v>
      </c>
      <c r="G45" s="343" t="s">
        <v>436</v>
      </c>
      <c r="H45" s="23"/>
      <c r="I45" s="319"/>
      <c r="J45" s="23"/>
      <c r="K45" s="23"/>
      <c r="L45" s="23"/>
      <c r="M45" s="23"/>
      <c r="N45" s="319"/>
      <c r="O45" s="23"/>
      <c r="P45" s="23"/>
    </row>
    <row r="46" spans="1:7" ht="15">
      <c r="A46" s="329"/>
      <c r="B46" s="329"/>
      <c r="C46" s="329"/>
      <c r="D46" s="329"/>
      <c r="E46" s="334"/>
      <c r="F46" s="329"/>
      <c r="G46" s="329"/>
    </row>
    <row r="47" spans="1:7" ht="15">
      <c r="A47" s="329" t="s">
        <v>424</v>
      </c>
      <c r="B47" s="336">
        <v>21135</v>
      </c>
      <c r="C47" s="336"/>
      <c r="D47" s="336">
        <v>20949</v>
      </c>
      <c r="E47" s="336"/>
      <c r="F47" s="336">
        <f>SUM(D47-B47)</f>
        <v>-186</v>
      </c>
      <c r="G47" s="329" t="s">
        <v>470</v>
      </c>
    </row>
    <row r="48" spans="1:7" ht="15">
      <c r="A48" s="329" t="s">
        <v>129</v>
      </c>
      <c r="B48" s="336">
        <v>4676</v>
      </c>
      <c r="C48" s="336"/>
      <c r="D48" s="336">
        <v>4528</v>
      </c>
      <c r="E48" s="336"/>
      <c r="F48" s="336">
        <f>SUM(D48-B48)</f>
        <v>-148</v>
      </c>
      <c r="G48" s="329" t="s">
        <v>16</v>
      </c>
    </row>
    <row r="49" spans="1:7" ht="15">
      <c r="A49" s="329" t="s">
        <v>456</v>
      </c>
      <c r="B49" s="336">
        <v>2800</v>
      </c>
      <c r="C49" s="336"/>
      <c r="D49" s="336">
        <v>2556</v>
      </c>
      <c r="E49" s="336"/>
      <c r="F49" s="336">
        <f>SUM(D49-B49)</f>
        <v>-244</v>
      </c>
      <c r="G49" s="329" t="s">
        <v>463</v>
      </c>
    </row>
    <row r="50" spans="1:7" ht="15">
      <c r="A50" s="335" t="s">
        <v>397</v>
      </c>
      <c r="B50" s="344">
        <v>3709</v>
      </c>
      <c r="C50" s="336"/>
      <c r="D50" s="344">
        <v>3641</v>
      </c>
      <c r="E50" s="336"/>
      <c r="F50" s="345">
        <f>SUM(D50-B50)</f>
        <v>-68</v>
      </c>
      <c r="G50" s="329" t="s">
        <v>457</v>
      </c>
    </row>
    <row r="51" spans="1:7" ht="15">
      <c r="A51" s="329"/>
      <c r="B51" s="336"/>
      <c r="C51" s="336"/>
      <c r="D51" s="336"/>
      <c r="E51" s="336"/>
      <c r="F51" s="336"/>
      <c r="G51" s="329"/>
    </row>
    <row r="52" spans="1:7" ht="15">
      <c r="A52" s="329" t="s">
        <v>443</v>
      </c>
      <c r="B52" s="336">
        <f>SUM(B47:B51)</f>
        <v>32320</v>
      </c>
      <c r="C52" s="336"/>
      <c r="D52" s="336">
        <f>SUM(D47:D51)</f>
        <v>31674</v>
      </c>
      <c r="E52" s="336"/>
      <c r="F52" s="338">
        <f>SUM(F47:F51)</f>
        <v>-646</v>
      </c>
      <c r="G52" s="329" t="s">
        <v>16</v>
      </c>
    </row>
    <row r="55" ht="12.75">
      <c r="D55" t="s">
        <v>458</v>
      </c>
    </row>
    <row r="56" spans="1:7" ht="15.75">
      <c r="A56" s="332"/>
      <c r="B56" s="340" t="s">
        <v>419</v>
      </c>
      <c r="C56" s="340"/>
      <c r="D56" s="340" t="s">
        <v>455</v>
      </c>
      <c r="E56" s="340"/>
      <c r="F56" s="340"/>
      <c r="G56" s="340"/>
    </row>
    <row r="57" spans="1:7" ht="15">
      <c r="A57" s="329"/>
      <c r="B57" s="340" t="s">
        <v>420</v>
      </c>
      <c r="C57" s="340"/>
      <c r="D57" s="340" t="s">
        <v>423</v>
      </c>
      <c r="E57" s="340"/>
      <c r="F57" s="340"/>
      <c r="G57" s="340"/>
    </row>
    <row r="58" spans="1:7" ht="15">
      <c r="A58" s="341" t="s">
        <v>442</v>
      </c>
      <c r="B58" s="341" t="s">
        <v>421</v>
      </c>
      <c r="C58" s="341"/>
      <c r="D58" s="341" t="s">
        <v>430</v>
      </c>
      <c r="E58" s="342"/>
      <c r="F58" s="341" t="s">
        <v>431</v>
      </c>
      <c r="G58" s="343" t="s">
        <v>436</v>
      </c>
    </row>
    <row r="59" spans="1:7" ht="15">
      <c r="A59" s="329"/>
      <c r="B59" s="329"/>
      <c r="C59" s="329"/>
      <c r="D59" s="329"/>
      <c r="E59" s="334"/>
      <c r="F59" s="329"/>
      <c r="G59" s="329"/>
    </row>
    <row r="60" spans="1:7" ht="15">
      <c r="A60" s="329" t="s">
        <v>424</v>
      </c>
      <c r="B60" s="336">
        <v>21135</v>
      </c>
      <c r="C60" s="336"/>
      <c r="D60" s="336">
        <v>21724</v>
      </c>
      <c r="E60" s="336"/>
      <c r="F60" s="336">
        <f>SUM(D60-B60)</f>
        <v>589</v>
      </c>
      <c r="G60" s="329" t="s">
        <v>471</v>
      </c>
    </row>
    <row r="61" spans="1:7" ht="15">
      <c r="A61" s="329" t="s">
        <v>129</v>
      </c>
      <c r="B61" s="336">
        <v>4676</v>
      </c>
      <c r="C61" s="336"/>
      <c r="D61" s="336">
        <v>4631</v>
      </c>
      <c r="E61" s="336"/>
      <c r="F61" s="336">
        <f>SUM(D61-B61)</f>
        <v>-45</v>
      </c>
      <c r="G61" s="329" t="s">
        <v>16</v>
      </c>
    </row>
    <row r="62" spans="1:7" ht="15">
      <c r="A62" s="329" t="s">
        <v>456</v>
      </c>
      <c r="B62" s="336">
        <v>2800</v>
      </c>
      <c r="C62" s="336"/>
      <c r="D62" s="336">
        <v>2556</v>
      </c>
      <c r="E62" s="336"/>
      <c r="F62" s="336">
        <f>SUM(D62-B62)</f>
        <v>-244</v>
      </c>
      <c r="G62" s="329"/>
    </row>
    <row r="63" spans="1:7" ht="15">
      <c r="A63" s="335" t="s">
        <v>397</v>
      </c>
      <c r="B63" s="344">
        <v>3709</v>
      </c>
      <c r="C63" s="336"/>
      <c r="D63" s="344">
        <v>4049</v>
      </c>
      <c r="E63" s="336"/>
      <c r="F63" s="345">
        <f>SUM(D63-B63)</f>
        <v>340</v>
      </c>
      <c r="G63" s="329" t="s">
        <v>472</v>
      </c>
    </row>
    <row r="64" spans="1:7" ht="15">
      <c r="A64" s="329"/>
      <c r="B64" s="336"/>
      <c r="C64" s="336"/>
      <c r="D64" s="336"/>
      <c r="E64" s="336"/>
      <c r="F64" s="336"/>
      <c r="G64" s="329"/>
    </row>
    <row r="65" spans="1:7" ht="15">
      <c r="A65" s="329" t="s">
        <v>443</v>
      </c>
      <c r="B65" s="336">
        <f>SUM(B60:B64)</f>
        <v>32320</v>
      </c>
      <c r="C65" s="336"/>
      <c r="D65" s="336">
        <f>SUM(D60:D64)</f>
        <v>32960</v>
      </c>
      <c r="E65" s="336"/>
      <c r="F65" s="338">
        <f>SUM(F60:F64)</f>
        <v>640</v>
      </c>
      <c r="G65" s="329" t="s">
        <v>16</v>
      </c>
    </row>
    <row r="69" spans="1:6" ht="12.75">
      <c r="A69" t="s">
        <v>459</v>
      </c>
      <c r="F69" s="176">
        <f>-F52+F65</f>
        <v>1286</v>
      </c>
    </row>
    <row r="70" spans="1:7" ht="12.75">
      <c r="A70" t="s">
        <v>460</v>
      </c>
      <c r="F70" s="47">
        <v>-125</v>
      </c>
      <c r="G70" t="s">
        <v>468</v>
      </c>
    </row>
    <row r="72" ht="12.75">
      <c r="F72" s="317"/>
    </row>
    <row r="73" spans="1:6" ht="12.75">
      <c r="A73" t="s">
        <v>461</v>
      </c>
      <c r="F73" s="176">
        <f>SUM(F69:F72)</f>
        <v>1161</v>
      </c>
    </row>
    <row r="74" ht="12.75">
      <c r="F74" s="176"/>
    </row>
    <row r="75" ht="12.75">
      <c r="F75" s="176"/>
    </row>
    <row r="76" ht="12.75">
      <c r="F76" s="176"/>
    </row>
    <row r="77" spans="1:6" ht="12.75">
      <c r="A77" t="s">
        <v>464</v>
      </c>
      <c r="B77" s="4">
        <v>30923766</v>
      </c>
      <c r="F77" s="176"/>
    </row>
    <row r="78" spans="1:6" ht="12.75">
      <c r="A78" t="s">
        <v>465</v>
      </c>
      <c r="B78" s="47">
        <v>31673673</v>
      </c>
      <c r="D78" t="s">
        <v>466</v>
      </c>
      <c r="F78" s="347">
        <f>SUM(B78/B77)-1</f>
        <v>0.024250183499642253</v>
      </c>
    </row>
    <row r="79" spans="1:6" ht="12.75">
      <c r="A79" t="s">
        <v>467</v>
      </c>
      <c r="B79" s="47">
        <v>32960000</v>
      </c>
      <c r="D79" t="s">
        <v>466</v>
      </c>
      <c r="F79" s="347">
        <f>SUM(B79/B77)-1</f>
        <v>0.06584689587936987</v>
      </c>
    </row>
    <row r="82" ht="12.75">
      <c r="A82" t="s">
        <v>491</v>
      </c>
    </row>
    <row r="83" ht="12.75">
      <c r="D83" t="s">
        <v>474</v>
      </c>
    </row>
    <row r="84" spans="2:4" ht="12.75">
      <c r="B84" t="s">
        <v>419</v>
      </c>
      <c r="D84" t="s">
        <v>455</v>
      </c>
    </row>
    <row r="85" spans="2:4" ht="12.75">
      <c r="B85" t="s">
        <v>420</v>
      </c>
      <c r="D85" t="s">
        <v>423</v>
      </c>
    </row>
    <row r="86" spans="1:7" ht="12.75">
      <c r="A86" t="s">
        <v>442</v>
      </c>
      <c r="B86" t="s">
        <v>421</v>
      </c>
      <c r="D86" t="s">
        <v>430</v>
      </c>
      <c r="F86" t="s">
        <v>431</v>
      </c>
      <c r="G86" t="s">
        <v>436</v>
      </c>
    </row>
    <row r="88" spans="1:7" ht="12.75">
      <c r="A88" t="s">
        <v>141</v>
      </c>
      <c r="B88" s="4">
        <v>21135</v>
      </c>
      <c r="D88" s="4">
        <v>21467</v>
      </c>
      <c r="F88">
        <v>332</v>
      </c>
      <c r="G88" t="s">
        <v>475</v>
      </c>
    </row>
    <row r="89" spans="1:7" ht="12.75">
      <c r="A89" t="s">
        <v>392</v>
      </c>
      <c r="B89" s="4">
        <v>4676</v>
      </c>
      <c r="D89" s="4">
        <v>4636</v>
      </c>
      <c r="F89">
        <v>-40</v>
      </c>
      <c r="G89" t="s">
        <v>16</v>
      </c>
    </row>
    <row r="90" spans="1:7" ht="12.75">
      <c r="A90" t="s">
        <v>476</v>
      </c>
      <c r="D90">
        <v>363</v>
      </c>
      <c r="G90" t="s">
        <v>477</v>
      </c>
    </row>
    <row r="91" spans="1:7" ht="12.75">
      <c r="A91" t="s">
        <v>456</v>
      </c>
      <c r="B91" s="4">
        <v>2800</v>
      </c>
      <c r="D91" s="4">
        <v>2556</v>
      </c>
      <c r="F91">
        <v>-244</v>
      </c>
      <c r="G91" t="s">
        <v>478</v>
      </c>
    </row>
    <row r="92" spans="1:7" ht="12.75">
      <c r="A92" t="s">
        <v>479</v>
      </c>
      <c r="B92" s="4">
        <v>3709</v>
      </c>
      <c r="D92" s="4">
        <v>4022</v>
      </c>
      <c r="F92">
        <v>313</v>
      </c>
      <c r="G92" t="s">
        <v>472</v>
      </c>
    </row>
    <row r="94" spans="1:7" ht="12.75">
      <c r="A94" t="s">
        <v>443</v>
      </c>
      <c r="B94" s="4">
        <v>32320</v>
      </c>
      <c r="D94" s="4">
        <v>33044</v>
      </c>
      <c r="F94">
        <v>361</v>
      </c>
      <c r="G94" t="s">
        <v>16</v>
      </c>
    </row>
    <row r="95" spans="4:7" ht="12.75">
      <c r="D95">
        <v>81</v>
      </c>
      <c r="G95" t="s">
        <v>480</v>
      </c>
    </row>
    <row r="97" spans="1:4" ht="12.75">
      <c r="A97" t="s">
        <v>481</v>
      </c>
      <c r="D97" s="4">
        <v>33125</v>
      </c>
    </row>
    <row r="99" spans="2:4" ht="12.75">
      <c r="B99" t="s">
        <v>482</v>
      </c>
      <c r="D99" t="s">
        <v>483</v>
      </c>
    </row>
    <row r="100" ht="12.75">
      <c r="A100" t="s">
        <v>397</v>
      </c>
    </row>
    <row r="101" spans="1:7" ht="12.75">
      <c r="A101" t="s">
        <v>133</v>
      </c>
      <c r="B101">
        <v>703</v>
      </c>
      <c r="D101">
        <v>820</v>
      </c>
      <c r="F101">
        <v>117</v>
      </c>
      <c r="G101" t="s">
        <v>484</v>
      </c>
    </row>
    <row r="102" spans="1:6" ht="12.75">
      <c r="A102" t="s">
        <v>485</v>
      </c>
      <c r="B102">
        <v>335</v>
      </c>
      <c r="D102">
        <v>442</v>
      </c>
      <c r="F102">
        <v>107</v>
      </c>
    </row>
    <row r="103" spans="1:6" ht="12.75">
      <c r="A103" t="s">
        <v>486</v>
      </c>
      <c r="B103">
        <v>608</v>
      </c>
      <c r="D103">
        <v>673</v>
      </c>
      <c r="F103">
        <v>65</v>
      </c>
    </row>
    <row r="104" spans="1:7" ht="12.75">
      <c r="A104" t="s">
        <v>487</v>
      </c>
      <c r="B104">
        <v>229</v>
      </c>
      <c r="D104">
        <v>465</v>
      </c>
      <c r="F104">
        <v>236</v>
      </c>
      <c r="G104" t="s">
        <v>488</v>
      </c>
    </row>
    <row r="105" spans="1:6" ht="12.75">
      <c r="A105" t="s">
        <v>489</v>
      </c>
      <c r="B105" s="4">
        <v>1624</v>
      </c>
      <c r="C105" t="s">
        <v>473</v>
      </c>
      <c r="D105" s="4">
        <v>1622</v>
      </c>
      <c r="F105">
        <v>-2</v>
      </c>
    </row>
    <row r="106" spans="1:7" ht="12.75">
      <c r="A106" t="s">
        <v>490</v>
      </c>
      <c r="B106" s="4">
        <v>3499</v>
      </c>
      <c r="D106" s="4">
        <v>4022</v>
      </c>
      <c r="F106">
        <v>523</v>
      </c>
      <c r="G106" s="7">
        <v>0.15</v>
      </c>
    </row>
    <row r="109" spans="1:2" ht="12.75">
      <c r="A109" t="s">
        <v>464</v>
      </c>
      <c r="B109" s="4">
        <v>30923766</v>
      </c>
    </row>
    <row r="110" spans="1:6" ht="12.75">
      <c r="A110" t="s">
        <v>465</v>
      </c>
      <c r="B110" s="4">
        <v>31673673</v>
      </c>
      <c r="D110" t="s">
        <v>466</v>
      </c>
      <c r="F110" s="349">
        <v>0.0243</v>
      </c>
    </row>
    <row r="111" spans="1:6" ht="12.75">
      <c r="A111" t="s">
        <v>467</v>
      </c>
      <c r="B111" s="4">
        <v>32960000</v>
      </c>
      <c r="D111" t="s">
        <v>466</v>
      </c>
      <c r="F111" s="349">
        <v>0.0658</v>
      </c>
    </row>
  </sheetData>
  <mergeCells count="2">
    <mergeCell ref="A2:G2"/>
    <mergeCell ref="A40:G40"/>
  </mergeCells>
  <printOptions/>
  <pageMargins left="0.75" right="0.75" top="1" bottom="1" header="0.5" footer="0.5"/>
  <pageSetup horizontalDpi="600" verticalDpi="600" orientation="landscape" scale="75" r:id="rId1"/>
  <rowBreaks count="2" manualBreakCount="2">
    <brk id="38" max="8" man="1"/>
    <brk id="8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612"/>
  <sheetViews>
    <sheetView view="pageBreakPreview" zoomScale="60" workbookViewId="0" topLeftCell="A1">
      <selection activeCell="A39" sqref="A39"/>
    </sheetView>
  </sheetViews>
  <sheetFormatPr defaultColWidth="9.140625" defaultRowHeight="12.75"/>
  <cols>
    <col min="1" max="1" width="18.421875" style="66" customWidth="1"/>
    <col min="2" max="3" width="9.140625" style="66" customWidth="1"/>
    <col min="4" max="4" width="3.00390625" style="66" customWidth="1"/>
    <col min="5" max="5" width="12.00390625" style="66" bestFit="1" customWidth="1"/>
    <col min="6" max="6" width="3.7109375" style="66" customWidth="1"/>
    <col min="7" max="7" width="9.140625" style="66" customWidth="1"/>
    <col min="8" max="8" width="12.00390625" style="66" bestFit="1" customWidth="1"/>
    <col min="9" max="9" width="3.00390625" style="123" customWidth="1"/>
    <col min="10" max="10" width="9.140625" style="66" customWidth="1"/>
    <col min="11" max="11" width="10.140625" style="66" bestFit="1" customWidth="1"/>
    <col min="12" max="12" width="2.421875" style="123" customWidth="1"/>
    <col min="13" max="13" width="9.140625" style="66" customWidth="1"/>
    <col min="14" max="14" width="10.140625" style="66" customWidth="1"/>
    <col min="15" max="15" width="3.421875" style="66" customWidth="1"/>
    <col min="16" max="16" width="0" style="66" hidden="1" customWidth="1"/>
    <col min="17" max="17" width="7.8515625" style="66" customWidth="1"/>
    <col min="18" max="18" width="10.140625" style="66" customWidth="1"/>
    <col min="19" max="19" width="3.421875" style="66" bestFit="1" customWidth="1"/>
    <col min="20" max="20" width="9.7109375" style="66" customWidth="1"/>
    <col min="21" max="21" width="14.8515625" style="66" hidden="1" customWidth="1"/>
    <col min="22" max="26" width="0" style="66" hidden="1" customWidth="1"/>
    <col min="27" max="16384" width="9.140625" style="66" customWidth="1"/>
  </cols>
  <sheetData>
    <row r="1" spans="1:15" s="38" customFormat="1" ht="15.75">
      <c r="A1" s="380"/>
      <c r="E1" s="381"/>
      <c r="F1" s="381"/>
      <c r="G1" s="66"/>
      <c r="H1" s="66"/>
      <c r="I1" s="66"/>
      <c r="J1" s="66"/>
      <c r="K1" s="66"/>
      <c r="L1" s="66"/>
      <c r="M1" s="66"/>
      <c r="N1" s="66"/>
      <c r="O1" s="66"/>
    </row>
    <row r="2" spans="5:19" s="38" customFormat="1" ht="12.75"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5:19" s="38" customFormat="1" ht="12.75"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8" s="38" customFormat="1" ht="12.75">
      <c r="A4" s="382"/>
      <c r="E4" s="10"/>
      <c r="F4" s="10"/>
      <c r="H4" s="10"/>
      <c r="I4" s="10"/>
      <c r="K4" s="10"/>
      <c r="L4" s="10"/>
      <c r="R4" s="54"/>
    </row>
    <row r="5" spans="1:19" ht="12.75">
      <c r="A5" s="38"/>
      <c r="B5" s="38"/>
      <c r="C5" s="38"/>
      <c r="D5" s="38"/>
      <c r="E5" s="10"/>
      <c r="F5" s="10"/>
      <c r="G5" s="378"/>
      <c r="H5" s="10"/>
      <c r="I5" s="10"/>
      <c r="J5" s="378"/>
      <c r="K5" s="10"/>
      <c r="L5" s="10"/>
      <c r="M5" s="378"/>
      <c r="N5" s="10"/>
      <c r="O5" s="10"/>
      <c r="P5" s="378"/>
      <c r="Q5" s="378"/>
      <c r="R5" s="54"/>
      <c r="S5" s="10"/>
    </row>
    <row r="6" spans="1:20" ht="12.75">
      <c r="A6" s="38"/>
      <c r="B6" s="38"/>
      <c r="C6" s="38"/>
      <c r="D6" s="38"/>
      <c r="E6" s="10"/>
      <c r="F6" s="10"/>
      <c r="G6" s="378"/>
      <c r="H6" s="10"/>
      <c r="I6" s="10"/>
      <c r="J6" s="378"/>
      <c r="K6" s="10"/>
      <c r="L6" s="10"/>
      <c r="M6" s="378"/>
      <c r="N6" s="10"/>
      <c r="O6" s="10"/>
      <c r="P6" s="378"/>
      <c r="Q6" s="378"/>
      <c r="R6" s="379"/>
      <c r="S6" s="10"/>
      <c r="T6" s="379"/>
    </row>
    <row r="7" spans="1:24" ht="12.75">
      <c r="A7" s="38"/>
      <c r="B7" s="38"/>
      <c r="C7" s="38"/>
      <c r="D7" s="38"/>
      <c r="E7" s="10"/>
      <c r="F7" s="10"/>
      <c r="G7" s="378"/>
      <c r="H7" s="10"/>
      <c r="I7" s="10"/>
      <c r="J7" s="378"/>
      <c r="K7" s="10"/>
      <c r="L7" s="10"/>
      <c r="M7" s="378"/>
      <c r="N7" s="10"/>
      <c r="O7" s="10"/>
      <c r="P7" s="378"/>
      <c r="Q7" s="378"/>
      <c r="R7" s="379"/>
      <c r="S7" s="10"/>
      <c r="T7" s="379"/>
      <c r="V7" s="10"/>
      <c r="W7" s="10"/>
      <c r="X7" s="10"/>
    </row>
    <row r="8" spans="1:20" ht="12.75">
      <c r="A8" s="38"/>
      <c r="B8" s="38"/>
      <c r="C8" s="38"/>
      <c r="D8" s="38"/>
      <c r="E8" s="10"/>
      <c r="F8" s="10"/>
      <c r="G8" s="378"/>
      <c r="H8" s="10"/>
      <c r="I8" s="10"/>
      <c r="J8" s="378"/>
      <c r="K8" s="10"/>
      <c r="L8" s="10"/>
      <c r="M8" s="378"/>
      <c r="N8" s="10"/>
      <c r="O8" s="10"/>
      <c r="P8" s="378"/>
      <c r="Q8" s="378"/>
      <c r="R8" s="379"/>
      <c r="S8" s="10"/>
      <c r="T8" s="379"/>
    </row>
    <row r="9" spans="1:20" ht="12.75">
      <c r="A9" s="38"/>
      <c r="B9" s="38"/>
      <c r="C9" s="38"/>
      <c r="D9" s="38"/>
      <c r="E9" s="10"/>
      <c r="F9" s="10"/>
      <c r="G9" s="378"/>
      <c r="H9" s="10"/>
      <c r="I9" s="10"/>
      <c r="J9" s="378"/>
      <c r="K9" s="10"/>
      <c r="L9" s="10"/>
      <c r="M9" s="378"/>
      <c r="N9" s="10"/>
      <c r="O9" s="10"/>
      <c r="P9" s="378"/>
      <c r="Q9" s="378"/>
      <c r="R9" s="379"/>
      <c r="S9" s="10"/>
      <c r="T9" s="379"/>
    </row>
    <row r="10" spans="1:20" ht="12.75">
      <c r="A10" s="38"/>
      <c r="B10" s="38"/>
      <c r="C10" s="38"/>
      <c r="D10" s="38"/>
      <c r="E10" s="10"/>
      <c r="F10" s="10"/>
      <c r="G10" s="378"/>
      <c r="H10" s="10"/>
      <c r="I10" s="10"/>
      <c r="J10" s="378"/>
      <c r="K10" s="10"/>
      <c r="L10" s="10"/>
      <c r="M10" s="378"/>
      <c r="N10" s="10"/>
      <c r="O10" s="10"/>
      <c r="P10" s="378"/>
      <c r="Q10" s="378"/>
      <c r="R10" s="379"/>
      <c r="S10" s="10"/>
      <c r="T10" s="379"/>
    </row>
    <row r="11" spans="1:25" ht="12.75">
      <c r="A11" s="38"/>
      <c r="B11" s="38"/>
      <c r="C11" s="38"/>
      <c r="D11" s="38"/>
      <c r="E11" s="10"/>
      <c r="F11" s="10"/>
      <c r="G11" s="383"/>
      <c r="H11" s="10"/>
      <c r="I11" s="10"/>
      <c r="J11" s="383"/>
      <c r="K11" s="10"/>
      <c r="L11" s="10"/>
      <c r="M11" s="378"/>
      <c r="N11" s="10"/>
      <c r="O11" s="10"/>
      <c r="P11" s="383"/>
      <c r="Q11" s="378"/>
      <c r="R11" s="379"/>
      <c r="S11" s="10"/>
      <c r="T11" s="379"/>
      <c r="V11" s="141"/>
      <c r="W11" s="141"/>
      <c r="X11" s="141"/>
      <c r="Y11" s="141"/>
    </row>
    <row r="12" spans="1:20" ht="12.75">
      <c r="A12" s="38"/>
      <c r="B12" s="38"/>
      <c r="C12" s="384"/>
      <c r="D12" s="38"/>
      <c r="E12" s="10"/>
      <c r="F12" s="10"/>
      <c r="G12" s="378"/>
      <c r="H12" s="10"/>
      <c r="I12" s="10"/>
      <c r="J12" s="378"/>
      <c r="K12" s="10"/>
      <c r="L12" s="10"/>
      <c r="M12" s="378"/>
      <c r="N12" s="10"/>
      <c r="O12" s="10"/>
      <c r="P12" s="378"/>
      <c r="Q12" s="378"/>
      <c r="R12" s="379"/>
      <c r="S12" s="10"/>
      <c r="T12" s="379"/>
    </row>
    <row r="13" spans="1:25" ht="12.75">
      <c r="A13" s="116"/>
      <c r="B13" s="38"/>
      <c r="C13" s="38"/>
      <c r="D13" s="38"/>
      <c r="E13" s="10"/>
      <c r="F13" s="10"/>
      <c r="G13" s="378"/>
      <c r="H13" s="10"/>
      <c r="I13" s="10"/>
      <c r="J13" s="378"/>
      <c r="K13" s="10"/>
      <c r="L13" s="10"/>
      <c r="M13" s="378"/>
      <c r="N13" s="10"/>
      <c r="O13" s="10"/>
      <c r="P13" s="378"/>
      <c r="Q13" s="378"/>
      <c r="R13" s="379"/>
      <c r="S13" s="10"/>
      <c r="T13" s="379"/>
      <c r="W13" s="141"/>
      <c r="X13" s="141"/>
      <c r="Y13" s="141"/>
    </row>
    <row r="14" spans="1:20" ht="12.75">
      <c r="A14" s="38"/>
      <c r="B14" s="38"/>
      <c r="C14" s="38"/>
      <c r="D14" s="38"/>
      <c r="E14" s="10"/>
      <c r="F14" s="10"/>
      <c r="G14" s="378"/>
      <c r="H14" s="10"/>
      <c r="I14" s="10"/>
      <c r="J14" s="378"/>
      <c r="K14" s="10"/>
      <c r="L14" s="10"/>
      <c r="M14" s="378"/>
      <c r="N14" s="10"/>
      <c r="O14" s="10"/>
      <c r="P14" s="378"/>
      <c r="Q14" s="378"/>
      <c r="R14" s="379"/>
      <c r="S14" s="10"/>
      <c r="T14" s="379"/>
    </row>
    <row r="15" spans="1:20" ht="12.75">
      <c r="A15" s="38"/>
      <c r="B15" s="38"/>
      <c r="C15" s="38"/>
      <c r="D15" s="38"/>
      <c r="E15" s="10"/>
      <c r="F15" s="10"/>
      <c r="G15" s="378"/>
      <c r="H15" s="10"/>
      <c r="I15" s="10"/>
      <c r="J15" s="54"/>
      <c r="K15" s="10"/>
      <c r="L15" s="10"/>
      <c r="M15" s="378"/>
      <c r="N15" s="10"/>
      <c r="O15" s="10"/>
      <c r="P15" s="378"/>
      <c r="Q15" s="378"/>
      <c r="R15" s="379"/>
      <c r="S15" s="10"/>
      <c r="T15" s="379"/>
    </row>
    <row r="16" spans="1:20" ht="12.75">
      <c r="A16" s="38"/>
      <c r="B16" s="38"/>
      <c r="C16" s="38"/>
      <c r="D16" s="38"/>
      <c r="E16" s="10"/>
      <c r="F16" s="10"/>
      <c r="G16" s="383"/>
      <c r="H16" s="10"/>
      <c r="I16" s="10"/>
      <c r="J16" s="54"/>
      <c r="K16" s="10"/>
      <c r="L16" s="10"/>
      <c r="M16" s="378"/>
      <c r="N16" s="10"/>
      <c r="O16" s="10"/>
      <c r="P16" s="378"/>
      <c r="Q16" s="378"/>
      <c r="R16" s="379"/>
      <c r="S16" s="10"/>
      <c r="T16" s="379"/>
    </row>
    <row r="17" spans="1:20" ht="12.75">
      <c r="A17" s="38"/>
      <c r="B17" s="38"/>
      <c r="C17" s="38"/>
      <c r="D17" s="38"/>
      <c r="E17" s="10"/>
      <c r="F17" s="10"/>
      <c r="G17" s="383"/>
      <c r="H17" s="10"/>
      <c r="I17" s="10"/>
      <c r="J17" s="378"/>
      <c r="K17" s="10"/>
      <c r="L17" s="10"/>
      <c r="M17" s="378"/>
      <c r="N17" s="10"/>
      <c r="O17" s="10"/>
      <c r="P17" s="378"/>
      <c r="Q17" s="378"/>
      <c r="R17" s="379"/>
      <c r="S17" s="10"/>
      <c r="T17" s="379"/>
    </row>
    <row r="18" spans="1:20" ht="12.75">
      <c r="A18" s="38"/>
      <c r="B18" s="38"/>
      <c r="C18" s="38"/>
      <c r="D18" s="38"/>
      <c r="E18" s="10"/>
      <c r="F18" s="10"/>
      <c r="G18" s="383"/>
      <c r="H18" s="10"/>
      <c r="I18" s="10"/>
      <c r="J18" s="378"/>
      <c r="K18" s="10"/>
      <c r="L18" s="10"/>
      <c r="M18" s="378"/>
      <c r="N18" s="10"/>
      <c r="O18" s="10"/>
      <c r="P18" s="378"/>
      <c r="Q18" s="378"/>
      <c r="R18" s="379"/>
      <c r="S18" s="10"/>
      <c r="T18" s="379"/>
    </row>
    <row r="19" spans="1:20" ht="12.75">
      <c r="A19" s="38"/>
      <c r="B19" s="38"/>
      <c r="C19" s="38"/>
      <c r="D19" s="38"/>
      <c r="E19" s="10"/>
      <c r="F19" s="10"/>
      <c r="G19" s="383"/>
      <c r="H19" s="10"/>
      <c r="I19" s="10"/>
      <c r="J19" s="378"/>
      <c r="K19" s="10"/>
      <c r="L19" s="10"/>
      <c r="M19" s="378"/>
      <c r="N19" s="10"/>
      <c r="O19" s="10"/>
      <c r="P19" s="378"/>
      <c r="Q19" s="378"/>
      <c r="R19" s="379"/>
      <c r="S19" s="10"/>
      <c r="T19" s="379"/>
    </row>
    <row r="20" spans="1:20" ht="12.75">
      <c r="A20" s="38"/>
      <c r="B20" s="38"/>
      <c r="C20" s="38"/>
      <c r="D20" s="38"/>
      <c r="E20" s="10"/>
      <c r="F20" s="10"/>
      <c r="G20" s="378"/>
      <c r="H20" s="10"/>
      <c r="I20" s="10"/>
      <c r="J20" s="378"/>
      <c r="K20" s="10"/>
      <c r="L20" s="10"/>
      <c r="M20" s="378"/>
      <c r="N20" s="10"/>
      <c r="O20" s="10"/>
      <c r="P20" s="378"/>
      <c r="Q20" s="378"/>
      <c r="R20" s="379"/>
      <c r="S20" s="10"/>
      <c r="T20" s="379"/>
    </row>
    <row r="21" spans="1:20" ht="12.75">
      <c r="A21" s="38"/>
      <c r="B21" s="38"/>
      <c r="C21" s="38"/>
      <c r="D21" s="38"/>
      <c r="E21" s="10"/>
      <c r="F21" s="10"/>
      <c r="G21" s="378"/>
      <c r="H21" s="10"/>
      <c r="I21" s="10"/>
      <c r="J21" s="378"/>
      <c r="K21" s="10"/>
      <c r="L21" s="10"/>
      <c r="M21" s="378"/>
      <c r="N21" s="10"/>
      <c r="O21" s="10"/>
      <c r="P21" s="378"/>
      <c r="Q21" s="378"/>
      <c r="R21" s="379"/>
      <c r="S21" s="10"/>
      <c r="T21" s="379"/>
    </row>
    <row r="22" spans="1:20" ht="12.75">
      <c r="A22" s="38"/>
      <c r="B22" s="38"/>
      <c r="C22" s="38"/>
      <c r="D22" s="38"/>
      <c r="E22" s="10"/>
      <c r="F22" s="10"/>
      <c r="G22" s="383"/>
      <c r="H22" s="10"/>
      <c r="I22" s="10"/>
      <c r="J22" s="383"/>
      <c r="K22" s="10"/>
      <c r="L22" s="10"/>
      <c r="M22" s="383"/>
      <c r="N22" s="10"/>
      <c r="O22" s="10"/>
      <c r="P22" s="383"/>
      <c r="Q22" s="383"/>
      <c r="R22" s="379"/>
      <c r="S22" s="10"/>
      <c r="T22" s="379"/>
    </row>
    <row r="23" spans="1:20" ht="12.75">
      <c r="A23" s="38"/>
      <c r="B23" s="38"/>
      <c r="C23" s="38"/>
      <c r="D23" s="38"/>
      <c r="E23" s="10"/>
      <c r="F23" s="10"/>
      <c r="G23" s="383"/>
      <c r="H23" s="10"/>
      <c r="I23" s="10"/>
      <c r="J23" s="383"/>
      <c r="K23" s="10"/>
      <c r="L23" s="10"/>
      <c r="M23" s="383"/>
      <c r="N23" s="10"/>
      <c r="O23" s="10"/>
      <c r="P23" s="383"/>
      <c r="Q23" s="383"/>
      <c r="R23" s="379"/>
      <c r="S23" s="10"/>
      <c r="T23" s="379"/>
    </row>
    <row r="24" spans="1:20" ht="12.75">
      <c r="A24" s="38"/>
      <c r="B24" s="38"/>
      <c r="C24" s="38"/>
      <c r="D24" s="38"/>
      <c r="E24" s="10"/>
      <c r="F24" s="10"/>
      <c r="G24" s="385"/>
      <c r="H24" s="10"/>
      <c r="I24" s="10"/>
      <c r="J24" s="385"/>
      <c r="K24" s="10"/>
      <c r="L24" s="10"/>
      <c r="M24" s="385"/>
      <c r="N24" s="10"/>
      <c r="O24" s="10"/>
      <c r="P24" s="385"/>
      <c r="Q24" s="385"/>
      <c r="R24" s="54"/>
      <c r="S24" s="10"/>
      <c r="T24" s="54"/>
    </row>
    <row r="25" spans="1:20" ht="12.75">
      <c r="A25" s="38"/>
      <c r="B25" s="38"/>
      <c r="C25" s="38"/>
      <c r="D25" s="38"/>
      <c r="E25" s="10"/>
      <c r="F25" s="10"/>
      <c r="G25" s="385"/>
      <c r="H25" s="10"/>
      <c r="I25" s="10"/>
      <c r="J25" s="38"/>
      <c r="K25" s="10"/>
      <c r="L25" s="10"/>
      <c r="M25" s="38"/>
      <c r="N25" s="10"/>
      <c r="O25" s="10"/>
      <c r="P25" s="38"/>
      <c r="Q25" s="38"/>
      <c r="R25" s="54"/>
      <c r="S25" s="10"/>
      <c r="T25" s="54"/>
    </row>
    <row r="26" spans="18:20" ht="12.75">
      <c r="R26" s="240"/>
      <c r="T26" s="240"/>
    </row>
    <row r="27" ht="12.75">
      <c r="R27" s="240"/>
    </row>
    <row r="28" ht="12.75">
      <c r="R28" s="240"/>
    </row>
    <row r="29" ht="12.75">
      <c r="R29" s="240"/>
    </row>
    <row r="30" ht="12.75">
      <c r="R30" s="240"/>
    </row>
    <row r="31" spans="5:18" ht="12.75">
      <c r="E31" s="141"/>
      <c r="H31" s="141"/>
      <c r="K31" s="141"/>
      <c r="N31" s="141"/>
      <c r="R31" s="240"/>
    </row>
    <row r="32" ht="12.75">
      <c r="R32" s="240"/>
    </row>
    <row r="33" ht="12.75">
      <c r="R33" s="240"/>
    </row>
    <row r="34" ht="12.75">
      <c r="R34" s="240"/>
    </row>
    <row r="35" spans="8:20" ht="12.75">
      <c r="H35" s="240"/>
      <c r="J35" s="303"/>
      <c r="K35" s="240"/>
      <c r="M35" s="303"/>
      <c r="N35" s="240"/>
      <c r="Q35" s="303"/>
      <c r="R35" s="240"/>
      <c r="T35" s="303"/>
    </row>
    <row r="36" spans="10:20" ht="12.75">
      <c r="J36" s="303"/>
      <c r="M36" s="303"/>
      <c r="Q36" s="303"/>
      <c r="T36" s="303"/>
    </row>
    <row r="37" spans="10:20" ht="12.75">
      <c r="J37" s="303"/>
      <c r="M37" s="303"/>
      <c r="Q37" s="303"/>
      <c r="T37" s="303"/>
    </row>
    <row r="38" ht="12.75">
      <c r="R38" s="240"/>
    </row>
    <row r="39" ht="12.75">
      <c r="R39" s="240"/>
    </row>
    <row r="40" ht="12.75">
      <c r="R40" s="240"/>
    </row>
    <row r="41" ht="12.75">
      <c r="R41" s="240"/>
    </row>
    <row r="42" ht="12.75">
      <c r="R42" s="240"/>
    </row>
    <row r="43" ht="12.75">
      <c r="R43" s="240"/>
    </row>
    <row r="44" spans="5:18" ht="12.75">
      <c r="E44" s="141"/>
      <c r="H44" s="141"/>
      <c r="K44" s="141"/>
      <c r="N44" s="141"/>
      <c r="R44" s="141"/>
    </row>
    <row r="45" spans="5:18" ht="12.75">
      <c r="E45" s="141"/>
      <c r="H45" s="141"/>
      <c r="K45" s="141"/>
      <c r="N45" s="141"/>
      <c r="R45" s="141"/>
    </row>
    <row r="46" spans="5:18" ht="12.75">
      <c r="E46" s="141"/>
      <c r="H46" s="141"/>
      <c r="K46" s="141"/>
      <c r="N46" s="141"/>
      <c r="R46" s="141"/>
    </row>
    <row r="47" spans="5:18" ht="12.75">
      <c r="E47" s="141"/>
      <c r="H47" s="141"/>
      <c r="K47" s="141"/>
      <c r="N47" s="141"/>
      <c r="R47" s="141"/>
    </row>
    <row r="48" spans="5:18" ht="12.75">
      <c r="E48" s="141"/>
      <c r="H48" s="141"/>
      <c r="K48" s="141"/>
      <c r="N48" s="141"/>
      <c r="R48" s="141"/>
    </row>
    <row r="49" ht="12.75">
      <c r="R49" s="141"/>
    </row>
    <row r="50" ht="12.75">
      <c r="R50" s="240"/>
    </row>
    <row r="51" ht="12.75">
      <c r="R51" s="240"/>
    </row>
    <row r="52" ht="12.75">
      <c r="R52" s="240"/>
    </row>
    <row r="53" spans="10:20" ht="12.75">
      <c r="J53" s="67"/>
      <c r="M53" s="67"/>
      <c r="R53" s="240"/>
      <c r="T53" s="67"/>
    </row>
    <row r="54" spans="10:20" ht="12.75">
      <c r="J54" s="67"/>
      <c r="M54" s="67"/>
      <c r="R54" s="240"/>
      <c r="T54" s="67"/>
    </row>
    <row r="57" spans="8:20" ht="12.75">
      <c r="H57" s="240"/>
      <c r="J57" s="303"/>
      <c r="K57" s="240"/>
      <c r="M57" s="303"/>
      <c r="N57" s="240"/>
      <c r="O57" s="123"/>
      <c r="P57" s="303"/>
      <c r="Q57" s="303"/>
      <c r="R57" s="240"/>
      <c r="T57" s="303"/>
    </row>
    <row r="58" ht="12.75">
      <c r="R58" s="240"/>
    </row>
    <row r="59" ht="12.75">
      <c r="R59" s="240"/>
    </row>
    <row r="60" ht="12.75">
      <c r="R60" s="240"/>
    </row>
    <row r="61" ht="12.75">
      <c r="R61" s="240"/>
    </row>
    <row r="62" ht="12.75">
      <c r="R62" s="240"/>
    </row>
    <row r="63" spans="9:18" ht="12.75">
      <c r="I63" s="66"/>
      <c r="L63" s="66"/>
      <c r="R63" s="240"/>
    </row>
    <row r="64" spans="5:18" ht="12.75">
      <c r="E64" s="141"/>
      <c r="H64" s="141"/>
      <c r="K64" s="141"/>
      <c r="N64" s="141"/>
      <c r="R64" s="141"/>
    </row>
    <row r="65" ht="12.75">
      <c r="R65" s="141"/>
    </row>
    <row r="66" ht="12.75">
      <c r="R66" s="240"/>
    </row>
    <row r="67" ht="12.75">
      <c r="R67" s="240"/>
    </row>
    <row r="68" ht="12.75">
      <c r="R68" s="240"/>
    </row>
    <row r="69" spans="10:20" ht="12.75">
      <c r="J69" s="67"/>
      <c r="M69" s="67"/>
      <c r="R69" s="240"/>
      <c r="T69" s="67"/>
    </row>
    <row r="70" ht="12.75">
      <c r="R70" s="240"/>
    </row>
    <row r="71" ht="12.75">
      <c r="R71" s="240"/>
    </row>
    <row r="72" ht="12.75">
      <c r="R72" s="240"/>
    </row>
    <row r="73" spans="8:20" ht="12.75">
      <c r="H73" s="240"/>
      <c r="J73" s="303"/>
      <c r="K73" s="240"/>
      <c r="M73" s="303"/>
      <c r="N73" s="240"/>
      <c r="O73" s="123"/>
      <c r="P73" s="303"/>
      <c r="Q73" s="303"/>
      <c r="R73" s="240"/>
      <c r="T73" s="303"/>
    </row>
    <row r="74" ht="12.75">
      <c r="R74" s="240"/>
    </row>
    <row r="75" ht="12.75">
      <c r="R75" s="240"/>
    </row>
    <row r="76" ht="12.75">
      <c r="R76" s="240"/>
    </row>
    <row r="77" ht="12.75">
      <c r="R77" s="240"/>
    </row>
    <row r="78" ht="12.75">
      <c r="R78" s="240"/>
    </row>
    <row r="79" spans="18:20" ht="12.75">
      <c r="R79" s="303"/>
      <c r="T79" s="240"/>
    </row>
    <row r="80" spans="14:20" ht="12.75">
      <c r="N80" s="382"/>
      <c r="R80" s="303"/>
      <c r="T80" s="240"/>
    </row>
    <row r="81" ht="12.75">
      <c r="R81" s="240"/>
    </row>
    <row r="82" spans="14:18" ht="12.75">
      <c r="N82" s="141"/>
      <c r="R82" s="240"/>
    </row>
    <row r="83" ht="12.75">
      <c r="R83" s="240"/>
    </row>
    <row r="84" spans="14:18" ht="12.75">
      <c r="N84" s="303"/>
      <c r="R84" s="240"/>
    </row>
    <row r="85" ht="12.75">
      <c r="R85" s="240"/>
    </row>
    <row r="86" ht="12.75">
      <c r="R86" s="240"/>
    </row>
    <row r="87" ht="12.75">
      <c r="R87" s="240"/>
    </row>
    <row r="88" ht="12.75">
      <c r="R88" s="240"/>
    </row>
    <row r="89" ht="12.75">
      <c r="R89" s="240"/>
    </row>
    <row r="90" ht="12.75">
      <c r="R90" s="240"/>
    </row>
    <row r="91" ht="12.75">
      <c r="R91" s="240"/>
    </row>
    <row r="92" ht="12.75">
      <c r="R92" s="240"/>
    </row>
    <row r="93" ht="12.75">
      <c r="R93" s="240"/>
    </row>
    <row r="94" ht="12.75">
      <c r="R94" s="240"/>
    </row>
    <row r="95" ht="12.75">
      <c r="R95" s="240"/>
    </row>
    <row r="96" ht="12.75">
      <c r="R96" s="240"/>
    </row>
    <row r="97" ht="12.75">
      <c r="R97" s="240"/>
    </row>
    <row r="98" ht="12.75">
      <c r="R98" s="240"/>
    </row>
    <row r="99" ht="12.75">
      <c r="R99" s="240"/>
    </row>
    <row r="100" ht="12.75">
      <c r="R100" s="240"/>
    </row>
    <row r="101" ht="12.75">
      <c r="R101" s="240"/>
    </row>
    <row r="102" ht="12.75">
      <c r="R102" s="240"/>
    </row>
    <row r="103" ht="12.75">
      <c r="R103" s="240"/>
    </row>
    <row r="104" ht="12.75">
      <c r="R104" s="240"/>
    </row>
    <row r="105" ht="12.75">
      <c r="R105" s="240"/>
    </row>
    <row r="106" ht="12.75">
      <c r="R106" s="240"/>
    </row>
    <row r="107" ht="12.75">
      <c r="R107" s="240"/>
    </row>
    <row r="108" ht="12.75">
      <c r="R108" s="240"/>
    </row>
    <row r="109" ht="12.75">
      <c r="R109" s="240"/>
    </row>
    <row r="110" ht="12.75">
      <c r="R110" s="240"/>
    </row>
    <row r="111" ht="12.75">
      <c r="R111" s="240"/>
    </row>
    <row r="112" ht="12.75">
      <c r="R112" s="240"/>
    </row>
    <row r="113" ht="12.75">
      <c r="R113" s="240"/>
    </row>
    <row r="114" ht="12.75">
      <c r="R114" s="240"/>
    </row>
    <row r="115" ht="12.75">
      <c r="R115" s="240"/>
    </row>
    <row r="116" ht="12.75">
      <c r="R116" s="240"/>
    </row>
    <row r="117" ht="12.75">
      <c r="R117" s="240"/>
    </row>
    <row r="118" ht="12.75">
      <c r="R118" s="240"/>
    </row>
    <row r="119" ht="12.75">
      <c r="R119" s="240"/>
    </row>
    <row r="120" ht="12.75">
      <c r="R120" s="240"/>
    </row>
    <row r="121" ht="12.75">
      <c r="R121" s="240"/>
    </row>
    <row r="122" ht="12.75">
      <c r="R122" s="240"/>
    </row>
    <row r="123" ht="12.75">
      <c r="R123" s="240"/>
    </row>
    <row r="124" ht="12.75">
      <c r="R124" s="240"/>
    </row>
    <row r="125" ht="12.75">
      <c r="R125" s="240"/>
    </row>
    <row r="126" ht="12.75">
      <c r="R126" s="240"/>
    </row>
    <row r="127" ht="12.75">
      <c r="R127" s="240"/>
    </row>
    <row r="128" ht="12.75">
      <c r="R128" s="240"/>
    </row>
    <row r="129" ht="12.75">
      <c r="R129" s="240"/>
    </row>
    <row r="130" ht="12.75">
      <c r="R130" s="240"/>
    </row>
    <row r="131" ht="12.75">
      <c r="R131" s="240"/>
    </row>
    <row r="132" ht="12.75">
      <c r="R132" s="240"/>
    </row>
    <row r="133" ht="12.75">
      <c r="R133" s="240"/>
    </row>
    <row r="134" ht="12.75">
      <c r="R134" s="240"/>
    </row>
    <row r="135" ht="12.75">
      <c r="R135" s="240"/>
    </row>
    <row r="136" ht="12.75">
      <c r="R136" s="240"/>
    </row>
    <row r="137" ht="12.75">
      <c r="R137" s="240"/>
    </row>
    <row r="138" ht="12.75">
      <c r="R138" s="240"/>
    </row>
    <row r="139" ht="12.75">
      <c r="R139" s="240"/>
    </row>
    <row r="140" ht="12.75">
      <c r="R140" s="240"/>
    </row>
    <row r="141" ht="12.75">
      <c r="R141" s="240"/>
    </row>
    <row r="142" ht="12.75">
      <c r="R142" s="240"/>
    </row>
    <row r="143" ht="12.75">
      <c r="R143" s="240"/>
    </row>
    <row r="144" ht="12.75">
      <c r="R144" s="240"/>
    </row>
    <row r="145" ht="12.75">
      <c r="R145" s="240"/>
    </row>
    <row r="146" ht="12.75">
      <c r="R146" s="240"/>
    </row>
    <row r="147" ht="12.75">
      <c r="R147" s="240"/>
    </row>
    <row r="148" ht="12.75">
      <c r="R148" s="240"/>
    </row>
    <row r="149" ht="12.75">
      <c r="R149" s="240"/>
    </row>
    <row r="150" ht="12.75">
      <c r="R150" s="240"/>
    </row>
    <row r="151" ht="12.75">
      <c r="R151" s="240"/>
    </row>
    <row r="152" ht="12.75">
      <c r="R152" s="240"/>
    </row>
    <row r="153" ht="12.75">
      <c r="R153" s="240"/>
    </row>
    <row r="154" ht="12.75">
      <c r="R154" s="240"/>
    </row>
    <row r="155" ht="12.75">
      <c r="R155" s="240"/>
    </row>
    <row r="156" ht="12.75">
      <c r="R156" s="240"/>
    </row>
    <row r="157" ht="12.75">
      <c r="R157" s="240"/>
    </row>
    <row r="158" ht="12.75">
      <c r="R158" s="240"/>
    </row>
    <row r="159" ht="12.75">
      <c r="R159" s="240"/>
    </row>
    <row r="160" ht="12.75">
      <c r="R160" s="240"/>
    </row>
    <row r="161" ht="12.75">
      <c r="R161" s="240"/>
    </row>
    <row r="162" ht="12.75">
      <c r="R162" s="240"/>
    </row>
    <row r="163" ht="12.75">
      <c r="R163" s="240"/>
    </row>
    <row r="164" ht="12.75">
      <c r="R164" s="240"/>
    </row>
    <row r="165" ht="12.75">
      <c r="R165" s="240"/>
    </row>
    <row r="166" ht="12.75">
      <c r="R166" s="240"/>
    </row>
    <row r="167" ht="12.75">
      <c r="R167" s="240"/>
    </row>
    <row r="168" ht="12.75">
      <c r="R168" s="240"/>
    </row>
    <row r="169" ht="12.75">
      <c r="R169" s="240"/>
    </row>
    <row r="170" ht="12.75">
      <c r="R170" s="240"/>
    </row>
    <row r="171" ht="12.75">
      <c r="R171" s="240"/>
    </row>
    <row r="172" ht="12.75">
      <c r="R172" s="240"/>
    </row>
    <row r="173" ht="12.75">
      <c r="R173" s="240"/>
    </row>
    <row r="174" ht="12.75">
      <c r="R174" s="240"/>
    </row>
    <row r="175" ht="12.75">
      <c r="R175" s="240"/>
    </row>
    <row r="176" ht="12.75">
      <c r="R176" s="240"/>
    </row>
    <row r="177" ht="12.75">
      <c r="R177" s="240"/>
    </row>
    <row r="178" ht="12.75">
      <c r="R178" s="240"/>
    </row>
    <row r="179" ht="12.75">
      <c r="R179" s="240"/>
    </row>
    <row r="180" ht="12.75">
      <c r="R180" s="240"/>
    </row>
    <row r="181" ht="12.75">
      <c r="R181" s="240"/>
    </row>
    <row r="182" ht="12.75">
      <c r="R182" s="240"/>
    </row>
    <row r="183" ht="12.75">
      <c r="R183" s="240"/>
    </row>
    <row r="184" ht="12.75">
      <c r="R184" s="240"/>
    </row>
    <row r="185" ht="12.75">
      <c r="R185" s="240"/>
    </row>
    <row r="186" ht="12.75">
      <c r="R186" s="240"/>
    </row>
    <row r="187" ht="12.75">
      <c r="R187" s="240"/>
    </row>
    <row r="188" ht="12.75">
      <c r="R188" s="240"/>
    </row>
    <row r="189" ht="12.75">
      <c r="R189" s="240"/>
    </row>
    <row r="190" ht="12.75">
      <c r="R190" s="240"/>
    </row>
    <row r="191" ht="12.75">
      <c r="R191" s="240"/>
    </row>
    <row r="192" ht="12.75">
      <c r="R192" s="240"/>
    </row>
    <row r="193" ht="12.75">
      <c r="R193" s="240"/>
    </row>
    <row r="194" ht="12.75">
      <c r="R194" s="240"/>
    </row>
    <row r="195" ht="12.75">
      <c r="R195" s="240"/>
    </row>
    <row r="196" ht="12.75">
      <c r="R196" s="240"/>
    </row>
    <row r="197" ht="12.75">
      <c r="R197" s="240"/>
    </row>
    <row r="198" ht="12.75">
      <c r="R198" s="240"/>
    </row>
    <row r="199" ht="12.75">
      <c r="R199" s="240"/>
    </row>
    <row r="200" ht="12.75">
      <c r="R200" s="240"/>
    </row>
    <row r="201" ht="12.75">
      <c r="R201" s="240"/>
    </row>
    <row r="202" ht="12.75">
      <c r="R202" s="240"/>
    </row>
    <row r="203" ht="12.75">
      <c r="R203" s="240"/>
    </row>
    <row r="204" ht="12.75">
      <c r="R204" s="240"/>
    </row>
    <row r="205" ht="12.75">
      <c r="R205" s="240"/>
    </row>
    <row r="206" ht="12.75">
      <c r="R206" s="240"/>
    </row>
    <row r="207" ht="12.75">
      <c r="R207" s="240"/>
    </row>
    <row r="208" ht="12.75">
      <c r="R208" s="240"/>
    </row>
    <row r="209" ht="12.75">
      <c r="R209" s="240"/>
    </row>
    <row r="210" ht="12.75">
      <c r="R210" s="240"/>
    </row>
    <row r="211" ht="12.75">
      <c r="R211" s="240"/>
    </row>
    <row r="212" ht="12.75">
      <c r="R212" s="240"/>
    </row>
    <row r="213" ht="12.75">
      <c r="R213" s="240"/>
    </row>
    <row r="214" ht="12.75">
      <c r="R214" s="240"/>
    </row>
    <row r="215" ht="12.75">
      <c r="R215" s="240"/>
    </row>
    <row r="216" ht="12.75">
      <c r="R216" s="240"/>
    </row>
    <row r="217" ht="12.75">
      <c r="R217" s="240"/>
    </row>
    <row r="218" ht="12.75">
      <c r="R218" s="240"/>
    </row>
    <row r="219" ht="12.75">
      <c r="R219" s="240"/>
    </row>
    <row r="220" ht="12.75">
      <c r="R220" s="240"/>
    </row>
    <row r="221" ht="12.75">
      <c r="R221" s="240"/>
    </row>
    <row r="222" ht="12.75">
      <c r="R222" s="240"/>
    </row>
    <row r="223" ht="12.75">
      <c r="R223" s="240"/>
    </row>
    <row r="224" ht="12.75">
      <c r="R224" s="240"/>
    </row>
    <row r="225" ht="12.75">
      <c r="R225" s="240"/>
    </row>
    <row r="226" ht="12.75">
      <c r="R226" s="240"/>
    </row>
    <row r="227" ht="12.75">
      <c r="R227" s="240"/>
    </row>
    <row r="228" ht="12.75">
      <c r="R228" s="240"/>
    </row>
    <row r="229" ht="12.75">
      <c r="R229" s="240"/>
    </row>
    <row r="230" ht="12.75">
      <c r="R230" s="240"/>
    </row>
    <row r="231" ht="12.75">
      <c r="R231" s="240"/>
    </row>
    <row r="232" ht="12.75">
      <c r="R232" s="240"/>
    </row>
    <row r="233" ht="12.75">
      <c r="R233" s="240"/>
    </row>
    <row r="234" ht="12.75">
      <c r="R234" s="240"/>
    </row>
    <row r="235" ht="12.75">
      <c r="R235" s="240"/>
    </row>
    <row r="236" ht="12.75">
      <c r="R236" s="240"/>
    </row>
    <row r="237" ht="12.75">
      <c r="R237" s="240"/>
    </row>
    <row r="238" ht="12.75">
      <c r="R238" s="240"/>
    </row>
    <row r="239" ht="12.75">
      <c r="R239" s="240"/>
    </row>
    <row r="240" ht="12.75">
      <c r="R240" s="240"/>
    </row>
    <row r="241" ht="12.75">
      <c r="R241" s="240"/>
    </row>
    <row r="242" ht="12.75">
      <c r="R242" s="240"/>
    </row>
    <row r="243" ht="12.75">
      <c r="R243" s="240"/>
    </row>
    <row r="244" ht="12.75">
      <c r="R244" s="240"/>
    </row>
    <row r="245" ht="12.75">
      <c r="R245" s="240"/>
    </row>
    <row r="246" ht="12.75">
      <c r="R246" s="240"/>
    </row>
    <row r="247" ht="12.75">
      <c r="R247" s="240"/>
    </row>
    <row r="248" ht="12.75">
      <c r="R248" s="240"/>
    </row>
    <row r="249" ht="12.75">
      <c r="R249" s="240"/>
    </row>
    <row r="250" ht="12.75">
      <c r="R250" s="240"/>
    </row>
    <row r="251" ht="12.75">
      <c r="R251" s="240"/>
    </row>
    <row r="252" ht="12.75">
      <c r="R252" s="240"/>
    </row>
    <row r="253" ht="12.75">
      <c r="R253" s="240"/>
    </row>
    <row r="254" ht="12.75">
      <c r="R254" s="240"/>
    </row>
    <row r="255" ht="12.75">
      <c r="R255" s="240"/>
    </row>
    <row r="256" ht="12.75">
      <c r="R256" s="240"/>
    </row>
    <row r="257" ht="12.75">
      <c r="R257" s="240"/>
    </row>
    <row r="258" ht="12.75">
      <c r="R258" s="240"/>
    </row>
    <row r="259" ht="12.75">
      <c r="R259" s="240"/>
    </row>
    <row r="260" ht="12.75">
      <c r="R260" s="240"/>
    </row>
    <row r="261" ht="12.75">
      <c r="R261" s="240"/>
    </row>
    <row r="262" ht="12.75">
      <c r="R262" s="240"/>
    </row>
    <row r="263" ht="12.75">
      <c r="R263" s="240"/>
    </row>
    <row r="264" ht="12.75">
      <c r="R264" s="240"/>
    </row>
    <row r="265" ht="12.75">
      <c r="R265" s="240"/>
    </row>
    <row r="266" ht="12.75">
      <c r="R266" s="240"/>
    </row>
    <row r="267" ht="12.75">
      <c r="R267" s="240"/>
    </row>
    <row r="268" ht="12.75">
      <c r="R268" s="240"/>
    </row>
    <row r="269" ht="12.75">
      <c r="R269" s="240"/>
    </row>
    <row r="270" ht="12.75">
      <c r="R270" s="240"/>
    </row>
    <row r="271" ht="12.75">
      <c r="R271" s="240"/>
    </row>
    <row r="272" ht="12.75">
      <c r="R272" s="240"/>
    </row>
    <row r="273" ht="12.75">
      <c r="R273" s="240"/>
    </row>
    <row r="274" ht="12.75">
      <c r="R274" s="240"/>
    </row>
    <row r="275" ht="12.75">
      <c r="R275" s="240"/>
    </row>
    <row r="276" ht="12.75">
      <c r="R276" s="240"/>
    </row>
    <row r="277" ht="12.75">
      <c r="R277" s="240"/>
    </row>
    <row r="278" ht="12.75">
      <c r="R278" s="240"/>
    </row>
    <row r="279" ht="12.75">
      <c r="R279" s="240"/>
    </row>
    <row r="280" ht="12.75">
      <c r="R280" s="240"/>
    </row>
    <row r="281" ht="12.75">
      <c r="R281" s="240"/>
    </row>
    <row r="282" ht="12.75">
      <c r="R282" s="240"/>
    </row>
    <row r="283" ht="12.75">
      <c r="R283" s="240"/>
    </row>
    <row r="284" ht="12.75">
      <c r="R284" s="240"/>
    </row>
    <row r="285" ht="12.75">
      <c r="R285" s="240"/>
    </row>
    <row r="286" ht="12.75">
      <c r="R286" s="240"/>
    </row>
    <row r="287" ht="12.75">
      <c r="R287" s="240"/>
    </row>
    <row r="288" ht="12.75">
      <c r="R288" s="240"/>
    </row>
    <row r="289" ht="12.75">
      <c r="R289" s="240"/>
    </row>
    <row r="290" ht="12.75">
      <c r="R290" s="240"/>
    </row>
    <row r="291" ht="12.75">
      <c r="R291" s="240"/>
    </row>
    <row r="292" ht="12.75">
      <c r="R292" s="240"/>
    </row>
    <row r="293" ht="12.75">
      <c r="R293" s="240"/>
    </row>
    <row r="294" ht="12.75">
      <c r="R294" s="240"/>
    </row>
    <row r="295" ht="12.75">
      <c r="R295" s="240"/>
    </row>
    <row r="296" ht="12.75">
      <c r="R296" s="240"/>
    </row>
    <row r="297" ht="12.75">
      <c r="R297" s="240"/>
    </row>
    <row r="298" ht="12.75">
      <c r="R298" s="240"/>
    </row>
    <row r="299" ht="12.75">
      <c r="R299" s="240"/>
    </row>
    <row r="300" ht="12.75">
      <c r="R300" s="240"/>
    </row>
    <row r="301" ht="12.75">
      <c r="R301" s="240"/>
    </row>
    <row r="302" ht="12.75">
      <c r="R302" s="240"/>
    </row>
    <row r="303" ht="12.75">
      <c r="R303" s="240"/>
    </row>
    <row r="304" ht="12.75">
      <c r="R304" s="240"/>
    </row>
    <row r="305" ht="12.75">
      <c r="R305" s="240"/>
    </row>
    <row r="306" ht="12.75">
      <c r="R306" s="240"/>
    </row>
    <row r="307" ht="12.75">
      <c r="R307" s="240"/>
    </row>
    <row r="308" ht="12.75">
      <c r="R308" s="240"/>
    </row>
    <row r="309" ht="12.75">
      <c r="R309" s="240"/>
    </row>
    <row r="310" ht="12.75">
      <c r="R310" s="240"/>
    </row>
    <row r="311" ht="12.75">
      <c r="R311" s="240"/>
    </row>
    <row r="312" ht="12.75">
      <c r="R312" s="240"/>
    </row>
    <row r="313" ht="12.75">
      <c r="R313" s="240"/>
    </row>
    <row r="314" ht="12.75">
      <c r="R314" s="240"/>
    </row>
    <row r="315" ht="12.75">
      <c r="R315" s="240"/>
    </row>
    <row r="316" ht="12.75">
      <c r="R316" s="240"/>
    </row>
    <row r="317" ht="12.75">
      <c r="R317" s="240"/>
    </row>
    <row r="318" ht="12.75">
      <c r="R318" s="240"/>
    </row>
    <row r="319" ht="12.75">
      <c r="R319" s="240"/>
    </row>
    <row r="320" ht="12.75">
      <c r="R320" s="240"/>
    </row>
    <row r="321" ht="12.75">
      <c r="R321" s="240"/>
    </row>
    <row r="322" ht="12.75">
      <c r="R322" s="240"/>
    </row>
    <row r="323" ht="12.75">
      <c r="R323" s="240"/>
    </row>
    <row r="324" ht="12.75">
      <c r="R324" s="240"/>
    </row>
    <row r="325" ht="12.75">
      <c r="R325" s="240"/>
    </row>
    <row r="326" ht="12.75">
      <c r="R326" s="240"/>
    </row>
    <row r="327" ht="12.75">
      <c r="R327" s="240"/>
    </row>
    <row r="328" ht="12.75">
      <c r="R328" s="240"/>
    </row>
    <row r="329" ht="12.75">
      <c r="R329" s="240"/>
    </row>
    <row r="330" ht="12.75">
      <c r="R330" s="240"/>
    </row>
    <row r="331" ht="12.75">
      <c r="R331" s="240"/>
    </row>
    <row r="332" ht="12.75">
      <c r="R332" s="240"/>
    </row>
    <row r="333" ht="12.75">
      <c r="R333" s="240"/>
    </row>
    <row r="334" ht="12.75">
      <c r="R334" s="240"/>
    </row>
    <row r="335" ht="12.75">
      <c r="R335" s="240"/>
    </row>
    <row r="336" ht="12.75">
      <c r="R336" s="240"/>
    </row>
    <row r="337" ht="12.75">
      <c r="R337" s="240"/>
    </row>
    <row r="338" ht="12.75">
      <c r="R338" s="240"/>
    </row>
    <row r="339" ht="12.75">
      <c r="R339" s="240"/>
    </row>
    <row r="340" ht="12.75">
      <c r="R340" s="240"/>
    </row>
    <row r="341" ht="12.75">
      <c r="R341" s="240"/>
    </row>
    <row r="342" ht="12.75">
      <c r="R342" s="240"/>
    </row>
    <row r="343" ht="12.75">
      <c r="R343" s="240"/>
    </row>
    <row r="344" ht="12.75">
      <c r="R344" s="240"/>
    </row>
    <row r="345" ht="12.75">
      <c r="R345" s="240"/>
    </row>
    <row r="346" ht="12.75">
      <c r="R346" s="240"/>
    </row>
    <row r="347" ht="12.75">
      <c r="R347" s="240"/>
    </row>
    <row r="348" ht="12.75">
      <c r="R348" s="240"/>
    </row>
    <row r="349" ht="12.75">
      <c r="R349" s="240"/>
    </row>
    <row r="350" ht="12.75">
      <c r="R350" s="240"/>
    </row>
    <row r="351" ht="12.75">
      <c r="R351" s="240"/>
    </row>
    <row r="352" ht="12.75">
      <c r="R352" s="240"/>
    </row>
    <row r="353" ht="12.75">
      <c r="R353" s="240"/>
    </row>
    <row r="354" ht="12.75">
      <c r="R354" s="240"/>
    </row>
    <row r="355" ht="12.75">
      <c r="R355" s="240"/>
    </row>
    <row r="356" ht="12.75">
      <c r="R356" s="240"/>
    </row>
    <row r="357" ht="12.75">
      <c r="R357" s="240"/>
    </row>
    <row r="358" ht="12.75">
      <c r="R358" s="240"/>
    </row>
    <row r="359" ht="12.75">
      <c r="R359" s="240"/>
    </row>
    <row r="360" ht="12.75">
      <c r="R360" s="240"/>
    </row>
    <row r="361" ht="12.75">
      <c r="R361" s="240"/>
    </row>
    <row r="362" ht="12.75">
      <c r="R362" s="240"/>
    </row>
    <row r="363" ht="12.75">
      <c r="R363" s="240"/>
    </row>
    <row r="364" ht="12.75">
      <c r="R364" s="240"/>
    </row>
    <row r="365" ht="12.75">
      <c r="R365" s="240"/>
    </row>
    <row r="366" ht="12.75">
      <c r="R366" s="240"/>
    </row>
    <row r="367" ht="12.75">
      <c r="R367" s="240"/>
    </row>
    <row r="368" ht="12.75">
      <c r="R368" s="240"/>
    </row>
    <row r="369" ht="12.75">
      <c r="R369" s="240"/>
    </row>
    <row r="370" ht="12.75">
      <c r="R370" s="240"/>
    </row>
    <row r="371" ht="12.75">
      <c r="R371" s="240"/>
    </row>
    <row r="372" ht="12.75">
      <c r="R372" s="240"/>
    </row>
    <row r="373" ht="12.75">
      <c r="R373" s="240"/>
    </row>
    <row r="374" ht="12.75">
      <c r="R374" s="240"/>
    </row>
    <row r="375" ht="12.75">
      <c r="R375" s="240"/>
    </row>
    <row r="376" ht="12.75">
      <c r="R376" s="240"/>
    </row>
    <row r="377" ht="12.75">
      <c r="R377" s="240"/>
    </row>
    <row r="378" ht="12.75">
      <c r="R378" s="240"/>
    </row>
    <row r="379" ht="12.75">
      <c r="R379" s="240"/>
    </row>
    <row r="380" ht="12.75">
      <c r="R380" s="240"/>
    </row>
    <row r="381" ht="12.75">
      <c r="R381" s="240"/>
    </row>
    <row r="382" ht="12.75">
      <c r="R382" s="240"/>
    </row>
    <row r="383" ht="12.75">
      <c r="R383" s="240"/>
    </row>
    <row r="384" ht="12.75">
      <c r="R384" s="240"/>
    </row>
    <row r="385" ht="12.75">
      <c r="R385" s="240"/>
    </row>
    <row r="386" ht="12.75">
      <c r="R386" s="240"/>
    </row>
    <row r="387" ht="12.75">
      <c r="R387" s="240"/>
    </row>
    <row r="388" ht="12.75">
      <c r="R388" s="240"/>
    </row>
    <row r="389" ht="12.75">
      <c r="R389" s="240"/>
    </row>
    <row r="390" ht="12.75">
      <c r="R390" s="240"/>
    </row>
    <row r="391" ht="12.75">
      <c r="R391" s="240"/>
    </row>
    <row r="392" ht="12.75">
      <c r="R392" s="240"/>
    </row>
    <row r="393" ht="12.75">
      <c r="R393" s="240"/>
    </row>
    <row r="394" ht="12.75">
      <c r="R394" s="240"/>
    </row>
    <row r="395" ht="12.75">
      <c r="R395" s="240"/>
    </row>
    <row r="396" ht="12.75">
      <c r="R396" s="240"/>
    </row>
    <row r="397" ht="12.75">
      <c r="R397" s="240"/>
    </row>
    <row r="398" ht="12.75">
      <c r="R398" s="240"/>
    </row>
    <row r="399" ht="12.75">
      <c r="R399" s="240"/>
    </row>
    <row r="400" ht="12.75">
      <c r="R400" s="240"/>
    </row>
    <row r="401" ht="12.75">
      <c r="R401" s="240"/>
    </row>
    <row r="402" ht="12.75">
      <c r="R402" s="240"/>
    </row>
    <row r="403" ht="12.75">
      <c r="R403" s="240"/>
    </row>
    <row r="404" ht="12.75">
      <c r="R404" s="240"/>
    </row>
    <row r="405" ht="12.75">
      <c r="R405" s="240"/>
    </row>
    <row r="406" ht="12.75">
      <c r="R406" s="240"/>
    </row>
    <row r="407" ht="12.75">
      <c r="R407" s="240"/>
    </row>
    <row r="408" ht="12.75">
      <c r="R408" s="240"/>
    </row>
    <row r="409" ht="12.75">
      <c r="R409" s="240"/>
    </row>
    <row r="410" ht="12.75">
      <c r="R410" s="240"/>
    </row>
    <row r="411" ht="12.75">
      <c r="R411" s="240"/>
    </row>
    <row r="412" ht="12.75">
      <c r="R412" s="240"/>
    </row>
    <row r="413" ht="12.75">
      <c r="R413" s="240"/>
    </row>
    <row r="414" ht="12.75">
      <c r="R414" s="240"/>
    </row>
    <row r="415" ht="12.75">
      <c r="R415" s="240"/>
    </row>
    <row r="416" ht="12.75">
      <c r="R416" s="240"/>
    </row>
    <row r="417" ht="12.75">
      <c r="R417" s="240"/>
    </row>
    <row r="418" ht="12.75">
      <c r="R418" s="240"/>
    </row>
    <row r="419" ht="12.75">
      <c r="R419" s="240"/>
    </row>
    <row r="420" ht="12.75">
      <c r="R420" s="240"/>
    </row>
    <row r="421" ht="12.75">
      <c r="R421" s="240"/>
    </row>
    <row r="422" ht="12.75">
      <c r="R422" s="240"/>
    </row>
    <row r="423" ht="12.75">
      <c r="R423" s="240"/>
    </row>
    <row r="424" ht="12.75">
      <c r="R424" s="240"/>
    </row>
    <row r="425" ht="12.75">
      <c r="R425" s="240"/>
    </row>
    <row r="426" ht="12.75">
      <c r="R426" s="240"/>
    </row>
    <row r="427" ht="12.75">
      <c r="R427" s="240"/>
    </row>
    <row r="428" ht="12.75">
      <c r="R428" s="240"/>
    </row>
    <row r="429" ht="12.75">
      <c r="R429" s="240"/>
    </row>
    <row r="430" ht="12.75">
      <c r="R430" s="240"/>
    </row>
    <row r="431" ht="12.75">
      <c r="R431" s="240"/>
    </row>
    <row r="432" ht="12.75">
      <c r="R432" s="240"/>
    </row>
    <row r="433" ht="12.75">
      <c r="R433" s="240"/>
    </row>
    <row r="434" ht="12.75">
      <c r="R434" s="240"/>
    </row>
    <row r="435" ht="12.75">
      <c r="R435" s="240"/>
    </row>
    <row r="436" ht="12.75">
      <c r="R436" s="240"/>
    </row>
    <row r="437" ht="12.75">
      <c r="R437" s="240"/>
    </row>
    <row r="438" ht="12.75">
      <c r="R438" s="240"/>
    </row>
    <row r="439" ht="12.75">
      <c r="R439" s="240"/>
    </row>
    <row r="440" ht="12.75">
      <c r="R440" s="240"/>
    </row>
    <row r="441" ht="12.75">
      <c r="R441" s="240"/>
    </row>
    <row r="442" ht="12.75">
      <c r="R442" s="240"/>
    </row>
    <row r="443" ht="12.75">
      <c r="R443" s="240"/>
    </row>
    <row r="444" ht="12.75">
      <c r="R444" s="240"/>
    </row>
    <row r="445" ht="12.75">
      <c r="R445" s="240"/>
    </row>
    <row r="446" ht="12.75">
      <c r="R446" s="240"/>
    </row>
    <row r="447" ht="12.75">
      <c r="R447" s="240"/>
    </row>
    <row r="448" ht="12.75">
      <c r="R448" s="240"/>
    </row>
    <row r="449" ht="12.75">
      <c r="R449" s="240"/>
    </row>
    <row r="450" ht="12.75">
      <c r="R450" s="240"/>
    </row>
    <row r="451" ht="12.75">
      <c r="R451" s="240"/>
    </row>
    <row r="452" ht="12.75">
      <c r="R452" s="240"/>
    </row>
    <row r="453" ht="12.75">
      <c r="R453" s="240"/>
    </row>
    <row r="454" ht="12.75">
      <c r="R454" s="240"/>
    </row>
    <row r="455" ht="12.75">
      <c r="R455" s="240"/>
    </row>
    <row r="456" ht="12.75">
      <c r="R456" s="240"/>
    </row>
    <row r="457" ht="12.75">
      <c r="R457" s="240"/>
    </row>
    <row r="458" ht="12.75">
      <c r="R458" s="240"/>
    </row>
    <row r="459" ht="12.75">
      <c r="R459" s="240"/>
    </row>
    <row r="460" ht="12.75">
      <c r="R460" s="240"/>
    </row>
    <row r="461" ht="12.75">
      <c r="R461" s="240"/>
    </row>
    <row r="462" ht="12.75">
      <c r="R462" s="240"/>
    </row>
    <row r="463" ht="12.75">
      <c r="R463" s="240"/>
    </row>
    <row r="464" ht="12.75">
      <c r="R464" s="240"/>
    </row>
    <row r="465" ht="12.75">
      <c r="R465" s="240"/>
    </row>
    <row r="466" ht="12.75">
      <c r="R466" s="240"/>
    </row>
    <row r="467" ht="12.75">
      <c r="R467" s="240"/>
    </row>
    <row r="468" ht="12.75">
      <c r="R468" s="240"/>
    </row>
    <row r="469" ht="12.75">
      <c r="R469" s="240"/>
    </row>
    <row r="470" ht="12.75">
      <c r="R470" s="240"/>
    </row>
    <row r="471" ht="12.75">
      <c r="R471" s="240"/>
    </row>
    <row r="472" ht="12.75">
      <c r="R472" s="240"/>
    </row>
    <row r="473" ht="12.75">
      <c r="R473" s="240"/>
    </row>
    <row r="474" ht="12.75">
      <c r="R474" s="240"/>
    </row>
    <row r="475" ht="12.75">
      <c r="R475" s="240"/>
    </row>
    <row r="476" ht="12.75">
      <c r="R476" s="240"/>
    </row>
    <row r="477" ht="12.75">
      <c r="R477" s="240"/>
    </row>
    <row r="478" ht="12.75">
      <c r="R478" s="240"/>
    </row>
    <row r="479" ht="12.75">
      <c r="R479" s="240"/>
    </row>
    <row r="480" ht="12.75">
      <c r="R480" s="240"/>
    </row>
    <row r="481" ht="12.75">
      <c r="R481" s="240"/>
    </row>
    <row r="482" ht="12.75">
      <c r="R482" s="240"/>
    </row>
    <row r="483" ht="12.75">
      <c r="R483" s="240"/>
    </row>
    <row r="484" ht="12.75">
      <c r="R484" s="240"/>
    </row>
    <row r="485" ht="12.75">
      <c r="R485" s="240"/>
    </row>
    <row r="486" ht="12.75">
      <c r="R486" s="240"/>
    </row>
    <row r="487" ht="12.75">
      <c r="R487" s="240"/>
    </row>
    <row r="488" ht="12.75">
      <c r="R488" s="240"/>
    </row>
    <row r="489" ht="12.75">
      <c r="R489" s="240"/>
    </row>
    <row r="490" ht="12.75">
      <c r="R490" s="240"/>
    </row>
    <row r="491" ht="12.75">
      <c r="R491" s="240"/>
    </row>
    <row r="492" ht="12.75">
      <c r="R492" s="240"/>
    </row>
    <row r="493" ht="12.75">
      <c r="R493" s="240"/>
    </row>
    <row r="494" ht="12.75">
      <c r="R494" s="240"/>
    </row>
    <row r="495" ht="12.75">
      <c r="R495" s="240"/>
    </row>
    <row r="496" ht="12.75">
      <c r="R496" s="240"/>
    </row>
    <row r="497" ht="12.75">
      <c r="R497" s="240"/>
    </row>
    <row r="498" ht="12.75">
      <c r="R498" s="240"/>
    </row>
    <row r="499" ht="12.75">
      <c r="R499" s="240"/>
    </row>
    <row r="500" ht="12.75">
      <c r="R500" s="240"/>
    </row>
    <row r="501" ht="12.75">
      <c r="R501" s="240"/>
    </row>
    <row r="502" ht="12.75">
      <c r="R502" s="240"/>
    </row>
    <row r="503" ht="12.75">
      <c r="R503" s="240"/>
    </row>
    <row r="504" ht="12.75">
      <c r="R504" s="240"/>
    </row>
    <row r="505" ht="12.75">
      <c r="R505" s="240"/>
    </row>
    <row r="506" ht="12.75">
      <c r="R506" s="240"/>
    </row>
    <row r="507" ht="12.75">
      <c r="R507" s="240"/>
    </row>
    <row r="508" ht="12.75">
      <c r="R508" s="240"/>
    </row>
    <row r="509" ht="12.75">
      <c r="R509" s="240"/>
    </row>
    <row r="510" ht="12.75">
      <c r="R510" s="240"/>
    </row>
    <row r="511" ht="12.75">
      <c r="R511" s="240"/>
    </row>
    <row r="512" ht="12.75">
      <c r="R512" s="240"/>
    </row>
    <row r="513" ht="12.75">
      <c r="R513" s="240"/>
    </row>
    <row r="514" ht="12.75">
      <c r="R514" s="240"/>
    </row>
    <row r="515" ht="12.75">
      <c r="R515" s="240"/>
    </row>
    <row r="516" ht="12.75">
      <c r="R516" s="240"/>
    </row>
    <row r="517" ht="12.75">
      <c r="R517" s="240"/>
    </row>
    <row r="518" ht="12.75">
      <c r="R518" s="240"/>
    </row>
    <row r="519" ht="12.75">
      <c r="R519" s="240"/>
    </row>
    <row r="520" ht="12.75">
      <c r="R520" s="240"/>
    </row>
    <row r="521" ht="12.75">
      <c r="R521" s="240"/>
    </row>
    <row r="522" ht="12.75">
      <c r="R522" s="240"/>
    </row>
    <row r="523" ht="12.75">
      <c r="R523" s="240"/>
    </row>
    <row r="524" ht="12.75">
      <c r="R524" s="240"/>
    </row>
    <row r="525" ht="12.75">
      <c r="R525" s="240"/>
    </row>
    <row r="526" ht="12.75">
      <c r="R526" s="240"/>
    </row>
    <row r="527" ht="12.75">
      <c r="R527" s="240"/>
    </row>
    <row r="528" ht="12.75">
      <c r="R528" s="240"/>
    </row>
    <row r="529" ht="12.75">
      <c r="R529" s="240"/>
    </row>
    <row r="530" ht="12.75">
      <c r="R530" s="240"/>
    </row>
    <row r="531" ht="12.75">
      <c r="R531" s="240"/>
    </row>
    <row r="532" ht="12.75">
      <c r="R532" s="240"/>
    </row>
    <row r="533" ht="12.75">
      <c r="R533" s="240"/>
    </row>
    <row r="534" ht="12.75">
      <c r="R534" s="240"/>
    </row>
    <row r="535" ht="12.75">
      <c r="R535" s="240"/>
    </row>
    <row r="536" ht="12.75">
      <c r="R536" s="240"/>
    </row>
    <row r="537" ht="12.75">
      <c r="R537" s="240"/>
    </row>
    <row r="538" ht="12.75">
      <c r="R538" s="240"/>
    </row>
    <row r="539" ht="12.75">
      <c r="R539" s="240"/>
    </row>
    <row r="540" ht="12.75">
      <c r="R540" s="240"/>
    </row>
    <row r="541" ht="12.75">
      <c r="R541" s="240"/>
    </row>
    <row r="542" ht="12.75">
      <c r="R542" s="240"/>
    </row>
    <row r="543" ht="12.75">
      <c r="R543" s="240"/>
    </row>
    <row r="544" ht="12.75">
      <c r="R544" s="240"/>
    </row>
    <row r="545" ht="12.75">
      <c r="R545" s="240"/>
    </row>
    <row r="546" ht="12.75">
      <c r="R546" s="240"/>
    </row>
    <row r="547" ht="12.75">
      <c r="R547" s="240"/>
    </row>
    <row r="548" ht="12.75">
      <c r="R548" s="240"/>
    </row>
    <row r="549" ht="12.75">
      <c r="R549" s="240"/>
    </row>
    <row r="550" ht="12.75">
      <c r="R550" s="240"/>
    </row>
    <row r="551" ht="12.75">
      <c r="R551" s="240"/>
    </row>
    <row r="552" ht="12.75">
      <c r="R552" s="240"/>
    </row>
    <row r="553" ht="12.75">
      <c r="R553" s="240"/>
    </row>
    <row r="554" ht="12.75">
      <c r="R554" s="240"/>
    </row>
    <row r="555" ht="12.75">
      <c r="R555" s="240"/>
    </row>
    <row r="556" ht="12.75">
      <c r="R556" s="240"/>
    </row>
    <row r="557" ht="12.75">
      <c r="R557" s="240"/>
    </row>
    <row r="558" ht="12.75">
      <c r="R558" s="240"/>
    </row>
    <row r="559" ht="12.75">
      <c r="R559" s="240"/>
    </row>
    <row r="560" ht="12.75">
      <c r="R560" s="240"/>
    </row>
    <row r="561" ht="12.75">
      <c r="R561" s="240"/>
    </row>
    <row r="562" ht="12.75">
      <c r="R562" s="240"/>
    </row>
    <row r="563" ht="12.75">
      <c r="R563" s="240"/>
    </row>
    <row r="564" ht="12.75">
      <c r="R564" s="240"/>
    </row>
    <row r="565" ht="12.75">
      <c r="R565" s="240"/>
    </row>
    <row r="566" ht="12.75">
      <c r="R566" s="240"/>
    </row>
    <row r="567" ht="12.75">
      <c r="R567" s="240"/>
    </row>
    <row r="568" ht="12.75">
      <c r="R568" s="240"/>
    </row>
    <row r="569" ht="12.75">
      <c r="R569" s="240"/>
    </row>
    <row r="570" ht="12.75">
      <c r="R570" s="240"/>
    </row>
    <row r="571" ht="12.75">
      <c r="R571" s="240"/>
    </row>
    <row r="572" ht="12.75">
      <c r="R572" s="240"/>
    </row>
    <row r="573" ht="12.75">
      <c r="R573" s="240"/>
    </row>
    <row r="574" ht="12.75">
      <c r="R574" s="240"/>
    </row>
    <row r="575" ht="12.75">
      <c r="R575" s="240"/>
    </row>
    <row r="576" ht="12.75">
      <c r="R576" s="240"/>
    </row>
    <row r="577" ht="12.75">
      <c r="R577" s="240"/>
    </row>
    <row r="578" ht="12.75">
      <c r="R578" s="240"/>
    </row>
    <row r="579" ht="12.75">
      <c r="R579" s="240"/>
    </row>
    <row r="580" ht="12.75">
      <c r="R580" s="240"/>
    </row>
    <row r="581" ht="12.75">
      <c r="R581" s="240"/>
    </row>
    <row r="582" ht="12.75">
      <c r="R582" s="240"/>
    </row>
    <row r="583" ht="12.75">
      <c r="R583" s="240"/>
    </row>
    <row r="584" ht="12.75">
      <c r="R584" s="240"/>
    </row>
    <row r="585" ht="12.75">
      <c r="R585" s="240"/>
    </row>
    <row r="586" ht="12.75">
      <c r="R586" s="240"/>
    </row>
    <row r="587" ht="12.75">
      <c r="R587" s="240"/>
    </row>
    <row r="588" ht="12.75">
      <c r="R588" s="240"/>
    </row>
    <row r="589" ht="12.75">
      <c r="R589" s="240"/>
    </row>
    <row r="590" ht="12.75">
      <c r="R590" s="240"/>
    </row>
    <row r="591" ht="12.75">
      <c r="R591" s="240"/>
    </row>
    <row r="592" ht="12.75">
      <c r="R592" s="240"/>
    </row>
    <row r="593" ht="12.75">
      <c r="R593" s="240"/>
    </row>
    <row r="594" ht="12.75">
      <c r="R594" s="240"/>
    </row>
    <row r="595" ht="12.75">
      <c r="R595" s="240"/>
    </row>
    <row r="596" ht="12.75">
      <c r="R596" s="240"/>
    </row>
    <row r="597" ht="12.75">
      <c r="R597" s="240"/>
    </row>
    <row r="598" ht="12.75">
      <c r="R598" s="240"/>
    </row>
    <row r="599" ht="12.75">
      <c r="R599" s="240"/>
    </row>
    <row r="600" ht="12.75">
      <c r="R600" s="240"/>
    </row>
    <row r="601" ht="12.75">
      <c r="R601" s="240"/>
    </row>
    <row r="602" ht="12.75">
      <c r="R602" s="240"/>
    </row>
    <row r="603" ht="12.75">
      <c r="R603" s="240"/>
    </row>
    <row r="604" ht="12.75">
      <c r="R604" s="240"/>
    </row>
    <row r="605" ht="12.75">
      <c r="R605" s="240"/>
    </row>
    <row r="606" ht="12.75">
      <c r="R606" s="240"/>
    </row>
    <row r="607" ht="12.75">
      <c r="R607" s="240"/>
    </row>
    <row r="608" ht="12.75">
      <c r="R608" s="240"/>
    </row>
    <row r="609" ht="12.75">
      <c r="R609" s="240"/>
    </row>
    <row r="610" ht="12.75">
      <c r="R610" s="240"/>
    </row>
    <row r="611" ht="12.75">
      <c r="R611" s="240"/>
    </row>
    <row r="612" ht="12.75">
      <c r="R612" s="240"/>
    </row>
  </sheetData>
  <printOptions/>
  <pageMargins left="0.75" right="0.75" top="1" bottom="1" header="0.5" footer="0.5"/>
  <pageSetup horizontalDpi="300" verticalDpi="300" orientation="landscape" scale="77" r:id="rId1"/>
  <headerFooter alignWithMargins="0">
    <oddHeader>&amp;C&amp;"Arial,Bold"&amp;12COMPARISON OF YEARLY INCREASES TO TOWN &amp; SCHOOL BUDGETS
</oddHeader>
    <oddFooter>&amp;L&amp;P&amp;R&amp;D</oddFooter>
  </headerFooter>
  <rowBreaks count="1" manualBreakCount="1">
    <brk id="8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workbookViewId="0" topLeftCell="A1">
      <selection activeCell="B3" sqref="B3"/>
    </sheetView>
  </sheetViews>
  <sheetFormatPr defaultColWidth="9.140625" defaultRowHeight="12.75"/>
  <cols>
    <col min="1" max="1" width="11.140625" style="0" bestFit="1" customWidth="1"/>
    <col min="3" max="3" width="8.8515625" style="0" customWidth="1"/>
    <col min="4" max="4" width="13.00390625" style="0" customWidth="1"/>
    <col min="5" max="5" width="7.57421875" style="0" bestFit="1" customWidth="1"/>
    <col min="6" max="6" width="5.421875" style="0" customWidth="1"/>
    <col min="9" max="9" width="14.28125" style="0" customWidth="1"/>
    <col min="11" max="11" width="3.8515625" style="0" customWidth="1"/>
    <col min="14" max="14" width="14.7109375" style="0" bestFit="1" customWidth="1"/>
    <col min="15" max="15" width="15.57421875" style="0" customWidth="1"/>
  </cols>
  <sheetData>
    <row r="1" spans="1:16" ht="12.75">
      <c r="A1" s="17" t="s">
        <v>16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4:16" ht="12.75">
      <c r="D2" s="23"/>
      <c r="E2" s="39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4:16" ht="12.75">
      <c r="D3" s="23"/>
      <c r="E3" s="39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179"/>
      <c r="D4" s="23"/>
      <c r="E4" s="23"/>
      <c r="F4" s="23"/>
      <c r="G4" s="23"/>
      <c r="H4" s="23"/>
      <c r="I4" s="24"/>
      <c r="J4" s="23"/>
      <c r="K4" s="23"/>
      <c r="L4" s="23"/>
      <c r="M4" s="23"/>
      <c r="N4" s="58"/>
      <c r="O4" s="23"/>
      <c r="P4" s="23"/>
    </row>
    <row r="5" spans="4:16" ht="12.75">
      <c r="D5" s="23"/>
      <c r="E5" s="23"/>
      <c r="F5" s="23"/>
      <c r="G5" s="23"/>
      <c r="H5" s="23"/>
      <c r="I5" s="24"/>
      <c r="J5" s="23"/>
      <c r="K5" s="23"/>
      <c r="L5" s="23"/>
      <c r="M5" s="23"/>
      <c r="N5" s="58"/>
      <c r="O5" s="23"/>
      <c r="P5" s="23"/>
    </row>
    <row r="6" spans="4:16" ht="12.75">
      <c r="D6" s="23"/>
      <c r="E6" s="10"/>
      <c r="F6" s="23"/>
      <c r="G6" s="23"/>
      <c r="H6" s="23"/>
      <c r="I6" s="10"/>
      <c r="J6" s="23"/>
      <c r="K6" s="23"/>
      <c r="L6" s="23"/>
      <c r="M6" s="23"/>
      <c r="N6" s="23"/>
      <c r="O6" s="23"/>
      <c r="P6" s="23"/>
    </row>
    <row r="7" spans="4:16" ht="12.75">
      <c r="D7" s="23"/>
      <c r="E7" s="1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4:16" ht="12.75">
      <c r="D8" s="23"/>
      <c r="E8" s="24"/>
      <c r="F8" s="23"/>
      <c r="G8" s="23"/>
      <c r="H8" s="23"/>
      <c r="I8" s="24"/>
      <c r="J8" s="23"/>
      <c r="K8" s="23"/>
      <c r="L8" s="23"/>
      <c r="M8" s="23"/>
      <c r="N8" s="24"/>
      <c r="O8" s="23"/>
      <c r="P8" s="23"/>
    </row>
    <row r="9" spans="4:16" ht="12.75"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4:16" ht="12.75">
      <c r="D10" s="23"/>
      <c r="E10" s="24"/>
      <c r="F10" s="23"/>
      <c r="G10" s="23"/>
      <c r="H10" s="23"/>
      <c r="I10" s="319"/>
      <c r="J10" s="23"/>
      <c r="K10" s="23"/>
      <c r="L10" s="23"/>
      <c r="M10" s="23"/>
      <c r="N10" s="319"/>
      <c r="O10" s="23"/>
      <c r="P10" s="23"/>
    </row>
    <row r="11" spans="4:16" ht="12.75">
      <c r="D11" s="23"/>
      <c r="E11" s="24"/>
      <c r="F11" s="23"/>
      <c r="G11" s="23"/>
      <c r="H11" s="23"/>
      <c r="I11" s="319"/>
      <c r="J11" s="23"/>
      <c r="K11" s="23"/>
      <c r="L11" s="23"/>
      <c r="M11" s="23"/>
      <c r="N11" s="319"/>
      <c r="O11" s="23"/>
      <c r="P11" s="23"/>
    </row>
    <row r="12" spans="4:16" ht="12.75">
      <c r="D12" s="23"/>
      <c r="E12" s="1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4:16" ht="12.75">
      <c r="D13" s="23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4:16" ht="12.7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4:16" ht="12.75">
      <c r="D15" s="23"/>
      <c r="E15" s="10"/>
      <c r="F15" s="23"/>
      <c r="G15" s="304"/>
      <c r="H15" s="23"/>
      <c r="I15" s="23"/>
      <c r="J15" s="23"/>
      <c r="K15" s="23"/>
      <c r="L15" s="304"/>
      <c r="M15" s="304"/>
      <c r="N15" s="23"/>
      <c r="O15" s="23"/>
      <c r="P15" s="23"/>
    </row>
    <row r="16" spans="4:16" ht="12.75">
      <c r="D16" s="23"/>
      <c r="E16" s="24"/>
      <c r="F16" s="23"/>
      <c r="G16" s="68"/>
      <c r="H16" s="23"/>
      <c r="I16" s="23"/>
      <c r="J16" s="23"/>
      <c r="K16" s="23"/>
      <c r="L16" s="68"/>
      <c r="M16" s="23"/>
      <c r="N16" s="23"/>
      <c r="O16" s="23"/>
      <c r="P16" s="23"/>
    </row>
    <row r="17" spans="3:16" ht="14.25">
      <c r="C17" s="18"/>
      <c r="D17" s="23"/>
      <c r="E17" s="10"/>
      <c r="F17" s="23"/>
      <c r="G17" s="23"/>
      <c r="H17" s="23"/>
      <c r="I17" s="319"/>
      <c r="J17" s="23"/>
      <c r="K17" s="23"/>
      <c r="L17" s="23"/>
      <c r="M17" s="23"/>
      <c r="N17" s="319"/>
      <c r="O17" s="23"/>
      <c r="P17" s="23"/>
    </row>
    <row r="18" spans="4:16" ht="12.75">
      <c r="D18" s="23"/>
      <c r="E18" s="24"/>
      <c r="F18" s="23"/>
      <c r="G18" s="23"/>
      <c r="H18" s="23"/>
      <c r="I18" s="319"/>
      <c r="J18" s="23"/>
      <c r="K18" s="23"/>
      <c r="L18" s="23"/>
      <c r="M18" s="23"/>
      <c r="N18" s="319"/>
      <c r="O18" s="23"/>
      <c r="P18" s="23"/>
    </row>
    <row r="19" spans="1:16" ht="12.75">
      <c r="A19" s="19"/>
      <c r="B19" s="19"/>
      <c r="C19" s="19"/>
      <c r="D19" s="78"/>
      <c r="E19" s="77"/>
      <c r="F19" s="23"/>
      <c r="G19" s="23"/>
      <c r="H19" s="23"/>
      <c r="I19" s="319"/>
      <c r="J19" s="23"/>
      <c r="K19" s="23"/>
      <c r="L19" s="23"/>
      <c r="M19" s="23"/>
      <c r="N19" s="319"/>
      <c r="O19" s="23"/>
      <c r="P19" s="23"/>
    </row>
    <row r="20" spans="4:16" ht="12.75">
      <c r="D20" s="23"/>
      <c r="E20" s="23"/>
      <c r="F20" s="23"/>
      <c r="G20" s="23"/>
      <c r="H20" s="23"/>
      <c r="I20" s="319"/>
      <c r="J20" s="23"/>
      <c r="K20" s="23"/>
      <c r="L20" s="23"/>
      <c r="M20" s="23"/>
      <c r="N20" s="319"/>
      <c r="O20" s="23"/>
      <c r="P20" s="23"/>
    </row>
    <row r="21" spans="4:16" ht="12.75">
      <c r="D21" s="23"/>
      <c r="E21" s="24"/>
      <c r="F21" s="23"/>
      <c r="G21" s="23"/>
      <c r="H21" s="23"/>
      <c r="I21" s="319"/>
      <c r="J21" s="23"/>
      <c r="K21" s="23"/>
      <c r="L21" s="23"/>
      <c r="M21" s="23"/>
      <c r="N21" s="319"/>
      <c r="O21" s="23"/>
      <c r="P21" s="23"/>
    </row>
    <row r="22" spans="4:16" ht="12.75">
      <c r="D22" s="23"/>
      <c r="E22" s="24"/>
      <c r="F22" s="23"/>
      <c r="G22" s="23"/>
      <c r="H22" s="23"/>
      <c r="I22" s="319"/>
      <c r="J22" s="23"/>
      <c r="K22" s="23"/>
      <c r="L22" s="23"/>
      <c r="M22" s="23"/>
      <c r="N22" s="319"/>
      <c r="O22" s="23"/>
      <c r="P22" s="23"/>
    </row>
    <row r="23" spans="4:16" ht="12.75">
      <c r="D23" s="23"/>
      <c r="E23" s="23"/>
      <c r="F23" s="23"/>
      <c r="G23" s="23"/>
      <c r="H23" s="23"/>
      <c r="I23" s="319"/>
      <c r="J23" s="23"/>
      <c r="K23" s="23"/>
      <c r="L23" s="23"/>
      <c r="M23" s="23"/>
      <c r="N23" s="319"/>
      <c r="O23" s="23"/>
      <c r="P23" s="23"/>
    </row>
    <row r="24" spans="4:16" ht="12.75">
      <c r="D24" s="23"/>
      <c r="E24" s="24"/>
      <c r="F24" s="23"/>
      <c r="G24" s="23"/>
      <c r="H24" s="23"/>
      <c r="I24" s="319"/>
      <c r="J24" s="23"/>
      <c r="K24" s="23"/>
      <c r="L24" s="23"/>
      <c r="M24" s="23"/>
      <c r="N24" s="319"/>
      <c r="O24" s="23"/>
      <c r="P24" s="23"/>
    </row>
    <row r="25" spans="4:16" ht="12.75">
      <c r="D25" s="23"/>
      <c r="E25" s="24"/>
      <c r="F25" s="23"/>
      <c r="G25" s="23"/>
      <c r="H25" s="23"/>
      <c r="I25" s="319"/>
      <c r="J25" s="23"/>
      <c r="K25" s="23"/>
      <c r="L25" s="23"/>
      <c r="M25" s="23"/>
      <c r="N25" s="319"/>
      <c r="O25" s="23"/>
      <c r="P25" s="23"/>
    </row>
    <row r="26" spans="4:16" ht="12.75">
      <c r="D26" s="23"/>
      <c r="E26" s="24"/>
      <c r="F26" s="23"/>
      <c r="G26" s="23"/>
      <c r="H26" s="23"/>
      <c r="I26" s="319"/>
      <c r="J26" s="23"/>
      <c r="K26" s="23"/>
      <c r="L26" s="23"/>
      <c r="M26" s="23"/>
      <c r="N26" s="319"/>
      <c r="O26" s="23"/>
      <c r="P26" s="23"/>
    </row>
    <row r="27" spans="4:16" ht="12.75">
      <c r="D27" s="23"/>
      <c r="E27" s="24"/>
      <c r="F27" s="23"/>
      <c r="G27" s="23"/>
      <c r="H27" s="23"/>
      <c r="I27" s="319"/>
      <c r="J27" s="23"/>
      <c r="K27" s="23"/>
      <c r="L27" s="23"/>
      <c r="M27" s="23"/>
      <c r="N27" s="319"/>
      <c r="O27" s="23"/>
      <c r="P27" s="23"/>
    </row>
    <row r="28" spans="4:16" ht="12.75">
      <c r="D28" s="23"/>
      <c r="E28" s="24"/>
      <c r="F28" s="23"/>
      <c r="G28" s="23"/>
      <c r="H28" s="23"/>
      <c r="I28" s="319"/>
      <c r="J28" s="23"/>
      <c r="K28" s="23"/>
      <c r="L28" s="23"/>
      <c r="M28" s="23"/>
      <c r="N28" s="319"/>
      <c r="O28" s="23"/>
      <c r="P28" s="23"/>
    </row>
    <row r="29" spans="4:16" ht="12.75">
      <c r="D29" s="23"/>
      <c r="E29" s="10"/>
      <c r="F29" s="23"/>
      <c r="G29" s="23"/>
      <c r="H29" s="23"/>
      <c r="I29" s="319"/>
      <c r="J29" s="23"/>
      <c r="K29" s="23"/>
      <c r="L29" s="23"/>
      <c r="M29" s="23"/>
      <c r="N29" s="319"/>
      <c r="O29" s="23"/>
      <c r="P29" s="23"/>
    </row>
    <row r="30" spans="4:16" ht="12.7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4:16" ht="12.75">
      <c r="D31" s="23"/>
      <c r="E31" s="24"/>
      <c r="F31" s="23"/>
      <c r="G31" s="23"/>
      <c r="H31" s="23"/>
      <c r="I31" s="319"/>
      <c r="J31" s="23"/>
      <c r="K31" s="23"/>
      <c r="L31" s="23"/>
      <c r="M31" s="23"/>
      <c r="N31" s="320"/>
      <c r="O31" s="23"/>
      <c r="P31" s="23"/>
    </row>
    <row r="32" spans="4:16" ht="12.75">
      <c r="D32" s="23"/>
      <c r="E32" s="24"/>
      <c r="F32" s="23"/>
      <c r="G32" s="23"/>
      <c r="H32" s="23"/>
      <c r="I32" s="319"/>
      <c r="J32" s="23"/>
      <c r="K32" s="23"/>
      <c r="L32" s="23"/>
      <c r="M32" s="23"/>
      <c r="N32" s="319"/>
      <c r="O32" s="23"/>
      <c r="P32" s="23"/>
    </row>
    <row r="33" spans="4:16" ht="12.75">
      <c r="D33" s="23"/>
      <c r="E33" s="23"/>
      <c r="F33" s="23"/>
      <c r="G33" s="23"/>
      <c r="H33" s="23"/>
      <c r="I33" s="319"/>
      <c r="J33" s="23"/>
      <c r="K33" s="23"/>
      <c r="L33" s="23"/>
      <c r="M33" s="23"/>
      <c r="N33" s="23"/>
      <c r="O33" s="23"/>
      <c r="P33" s="23"/>
    </row>
    <row r="34" spans="4:16" ht="12.75">
      <c r="D34" s="23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4:16" ht="12.75">
      <c r="D35" s="23"/>
      <c r="E35" s="23"/>
      <c r="F35" s="23"/>
      <c r="G35" s="23"/>
      <c r="H35" s="23"/>
      <c r="I35" s="319"/>
      <c r="J35" s="23"/>
      <c r="K35" s="23"/>
      <c r="L35" s="23"/>
      <c r="M35" s="23"/>
      <c r="N35" s="320"/>
      <c r="O35" s="23"/>
      <c r="P35" s="23"/>
    </row>
    <row r="36" spans="4:16" ht="12.75">
      <c r="D36" s="23"/>
      <c r="E36" s="23"/>
      <c r="F36" s="23"/>
      <c r="G36" s="23"/>
      <c r="H36" s="23"/>
      <c r="I36" s="319"/>
      <c r="J36" s="23"/>
      <c r="K36" s="23"/>
      <c r="L36" s="23"/>
      <c r="M36" s="23"/>
      <c r="N36" s="319"/>
      <c r="O36" s="23"/>
      <c r="P36" s="23"/>
    </row>
    <row r="37" spans="6:16" ht="12.75">
      <c r="F37" s="23"/>
      <c r="G37" s="23"/>
      <c r="H37" s="23"/>
      <c r="I37" s="319"/>
      <c r="J37" s="23"/>
      <c r="K37" s="23"/>
      <c r="L37" s="23"/>
      <c r="M37" s="23"/>
      <c r="N37" s="320"/>
      <c r="O37" s="23"/>
      <c r="P37" s="23"/>
    </row>
    <row r="38" spans="6:16" ht="12.75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6:16" ht="12.75">
      <c r="F39" s="23"/>
      <c r="G39" s="68"/>
      <c r="H39" s="23"/>
      <c r="I39" s="23"/>
      <c r="J39" s="23"/>
      <c r="K39" s="23"/>
      <c r="L39" s="23"/>
      <c r="M39" s="23"/>
      <c r="N39" s="23"/>
      <c r="O39" s="23"/>
      <c r="P39" s="23"/>
    </row>
    <row r="40" spans="6:16" ht="12.75">
      <c r="F40" s="23"/>
      <c r="G40" s="23"/>
      <c r="H40" s="23"/>
      <c r="I40" s="319"/>
      <c r="J40" s="23"/>
      <c r="K40" s="23"/>
      <c r="L40" s="23"/>
      <c r="M40" s="23"/>
      <c r="N40" s="319"/>
      <c r="O40" s="23"/>
      <c r="P40" s="23"/>
    </row>
  </sheetData>
  <printOptions/>
  <pageMargins left="0.75" right="0.75" top="1" bottom="1" header="0.5" footer="0.5"/>
  <pageSetup horizontalDpi="600" verticalDpi="600" orientation="landscape" paperSize="5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46"/>
  <sheetViews>
    <sheetView view="pageBreakPreview" zoomScale="6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30.00390625" style="14" customWidth="1"/>
    <col min="2" max="2" width="14.421875" style="14" customWidth="1"/>
    <col min="3" max="3" width="9.140625" style="14" customWidth="1"/>
    <col min="4" max="4" width="4.7109375" style="14" hidden="1" customWidth="1"/>
    <col min="5" max="5" width="10.28125" style="14" hidden="1" customWidth="1"/>
    <col min="6" max="6" width="7.7109375" style="14" hidden="1" customWidth="1"/>
    <col min="7" max="7" width="0" style="32" hidden="1" customWidth="1"/>
    <col min="8" max="8" width="2.00390625" style="32" hidden="1" customWidth="1"/>
    <col min="9" max="9" width="10.57421875" style="63" bestFit="1" customWidth="1"/>
    <col min="10" max="10" width="13.00390625" style="32" customWidth="1"/>
    <col min="11" max="11" width="4.140625" style="32" customWidth="1"/>
    <col min="12" max="12" width="9.140625" style="191" customWidth="1"/>
    <col min="13" max="13" width="11.28125" style="32" customWidth="1"/>
    <col min="14" max="14" width="3.8515625" style="14" hidden="1" customWidth="1"/>
    <col min="15" max="15" width="7.7109375" style="14" hidden="1" customWidth="1"/>
    <col min="16" max="16" width="8.8515625" style="14" hidden="1" customWidth="1"/>
    <col min="17" max="17" width="3.421875" style="14" hidden="1" customWidth="1"/>
    <col min="18" max="18" width="7.7109375" style="14" hidden="1" customWidth="1"/>
    <col min="19" max="19" width="8.8515625" style="14" hidden="1" customWidth="1"/>
    <col min="20" max="20" width="5.140625" style="14" hidden="1" customWidth="1"/>
    <col min="21" max="21" width="7.7109375" style="14" hidden="1" customWidth="1"/>
    <col min="22" max="22" width="9.421875" style="14" hidden="1" customWidth="1"/>
    <col min="23" max="25" width="0" style="14" hidden="1" customWidth="1"/>
    <col min="26" max="26" width="7.57421875" style="14" customWidth="1"/>
    <col min="27" max="27" width="13.7109375" style="14" customWidth="1"/>
    <col min="28" max="28" width="9.140625" style="14" customWidth="1"/>
    <col min="29" max="29" width="11.00390625" style="14" customWidth="1"/>
    <col min="30" max="30" width="13.421875" style="14" customWidth="1"/>
    <col min="31" max="31" width="9.140625" style="14" customWidth="1"/>
    <col min="32" max="32" width="13.7109375" style="14" customWidth="1"/>
    <col min="33" max="16384" width="9.140625" style="14" customWidth="1"/>
  </cols>
  <sheetData>
    <row r="1" ht="12.75">
      <c r="A1" s="14" t="s">
        <v>16</v>
      </c>
    </row>
    <row r="2" ht="12.75">
      <c r="J2" s="191"/>
    </row>
    <row r="3" spans="1:13" ht="12.75">
      <c r="A3" s="190" t="s">
        <v>16</v>
      </c>
      <c r="C3" s="14" t="s">
        <v>16</v>
      </c>
      <c r="E3" s="14" t="s">
        <v>319</v>
      </c>
      <c r="J3" s="191"/>
      <c r="M3" s="191" t="s">
        <v>323</v>
      </c>
    </row>
    <row r="4" spans="3:22" ht="12.75">
      <c r="C4" s="14" t="s">
        <v>16</v>
      </c>
      <c r="E4" s="192" t="s">
        <v>0</v>
      </c>
      <c r="F4" s="192"/>
      <c r="G4" s="193" t="s">
        <v>3</v>
      </c>
      <c r="H4" s="193"/>
      <c r="J4" s="191" t="s">
        <v>4</v>
      </c>
      <c r="K4" s="193"/>
      <c r="M4" s="191" t="s">
        <v>5</v>
      </c>
      <c r="N4" s="192"/>
      <c r="O4" s="192"/>
      <c r="P4" s="192" t="s">
        <v>6</v>
      </c>
      <c r="Q4" s="192"/>
      <c r="R4" s="192"/>
      <c r="S4" s="192" t="s">
        <v>7</v>
      </c>
      <c r="U4" s="192"/>
      <c r="V4" s="192" t="s">
        <v>210</v>
      </c>
    </row>
    <row r="5" spans="5:22" ht="12.75">
      <c r="E5" s="194" t="s">
        <v>1</v>
      </c>
      <c r="F5" s="194" t="s">
        <v>2</v>
      </c>
      <c r="G5" s="195" t="s">
        <v>41</v>
      </c>
      <c r="H5" s="195"/>
      <c r="I5" s="286" t="s">
        <v>2</v>
      </c>
      <c r="J5" s="196" t="s">
        <v>41</v>
      </c>
      <c r="K5" s="195"/>
      <c r="L5" s="196" t="s">
        <v>2</v>
      </c>
      <c r="M5" s="196" t="s">
        <v>41</v>
      </c>
      <c r="N5" s="194"/>
      <c r="O5" s="194" t="s">
        <v>2</v>
      </c>
      <c r="P5" s="194" t="s">
        <v>41</v>
      </c>
      <c r="Q5" s="194"/>
      <c r="R5" s="194" t="s">
        <v>2</v>
      </c>
      <c r="S5" s="194" t="s">
        <v>41</v>
      </c>
      <c r="U5" s="194" t="s">
        <v>2</v>
      </c>
      <c r="V5" s="194" t="s">
        <v>41</v>
      </c>
    </row>
    <row r="6" spans="1:11" ht="12.75">
      <c r="A6" s="179" t="s">
        <v>23</v>
      </c>
      <c r="E6" s="76"/>
      <c r="G6" s="172"/>
      <c r="H6" s="172"/>
      <c r="J6" s="172"/>
      <c r="K6" s="172"/>
    </row>
    <row r="7" spans="5:11" ht="7.5" customHeight="1">
      <c r="E7" s="197"/>
      <c r="G7" s="197"/>
      <c r="H7" s="172"/>
      <c r="J7" s="172"/>
      <c r="K7" s="172"/>
    </row>
    <row r="8" spans="1:22" ht="12.75" customHeight="1">
      <c r="A8" s="14" t="s">
        <v>24</v>
      </c>
      <c r="E8" s="197">
        <v>38317</v>
      </c>
      <c r="F8" s="32"/>
      <c r="G8" s="197">
        <f>+E8+E9+E10+E12</f>
        <v>42739</v>
      </c>
      <c r="H8" s="172"/>
      <c r="J8" s="172">
        <v>46864</v>
      </c>
      <c r="K8" s="172"/>
      <c r="M8" s="198">
        <f>+J8+J9+J10+J12</f>
        <v>48750.6</v>
      </c>
      <c r="N8" s="172"/>
      <c r="P8" s="172">
        <f>+M8+M9+M10+M12</f>
        <v>50369.365</v>
      </c>
      <c r="Q8" s="76"/>
      <c r="S8" s="172">
        <f>+P8+P9+P10+P12</f>
        <v>52028.599125</v>
      </c>
      <c r="V8" s="172">
        <f>+S8+S9+S10+S12</f>
        <v>53729.314103125</v>
      </c>
    </row>
    <row r="9" spans="1:22" ht="12.75" customHeight="1">
      <c r="A9" s="14" t="s">
        <v>356</v>
      </c>
      <c r="E9" s="197">
        <v>957</v>
      </c>
      <c r="F9" s="199" t="s">
        <v>16</v>
      </c>
      <c r="G9" s="197">
        <v>1069</v>
      </c>
      <c r="H9" s="172"/>
      <c r="I9" s="287">
        <v>0.025</v>
      </c>
      <c r="J9" s="172">
        <f>+J8*I9</f>
        <v>1171.6000000000001</v>
      </c>
      <c r="K9" s="172"/>
      <c r="L9" s="275">
        <v>0.025</v>
      </c>
      <c r="M9" s="201">
        <f>+M8*L9</f>
        <v>1218.765</v>
      </c>
      <c r="N9" s="172"/>
      <c r="O9" s="200">
        <v>0.025</v>
      </c>
      <c r="P9" s="172">
        <f>+P8*O9</f>
        <v>1259.234125</v>
      </c>
      <c r="Q9" s="172"/>
      <c r="R9" s="200">
        <v>0.025</v>
      </c>
      <c r="S9" s="172">
        <f>+S8*R9</f>
        <v>1300.714978125</v>
      </c>
      <c r="U9" s="200">
        <v>0.025</v>
      </c>
      <c r="V9" s="172">
        <f>+V8*U9</f>
        <v>1343.232852578125</v>
      </c>
    </row>
    <row r="10" spans="1:22" ht="12.75" customHeight="1">
      <c r="A10" s="14" t="s">
        <v>25</v>
      </c>
      <c r="E10" s="197">
        <v>465</v>
      </c>
      <c r="F10" s="193" t="s">
        <v>16</v>
      </c>
      <c r="G10" s="197">
        <v>643</v>
      </c>
      <c r="H10" s="172"/>
      <c r="J10" s="172">
        <v>715</v>
      </c>
      <c r="K10" s="172"/>
      <c r="M10" s="201">
        <v>400</v>
      </c>
      <c r="N10" s="76"/>
      <c r="P10" s="76">
        <f>+M10</f>
        <v>400</v>
      </c>
      <c r="Q10" s="76"/>
      <c r="S10" s="76">
        <f>+P10</f>
        <v>400</v>
      </c>
      <c r="T10" s="76"/>
      <c r="V10" s="76">
        <f>+S10</f>
        <v>400</v>
      </c>
    </row>
    <row r="11" spans="1:22" ht="12.75" customHeight="1">
      <c r="A11" s="14" t="s">
        <v>357</v>
      </c>
      <c r="E11" s="197">
        <v>0</v>
      </c>
      <c r="F11" s="193"/>
      <c r="G11" s="197">
        <v>0</v>
      </c>
      <c r="H11" s="172"/>
      <c r="J11" s="172">
        <v>0</v>
      </c>
      <c r="K11" s="172"/>
      <c r="M11" s="201">
        <v>0</v>
      </c>
      <c r="N11" s="76"/>
      <c r="P11" s="76">
        <v>0</v>
      </c>
      <c r="Q11" s="76"/>
      <c r="S11" s="76">
        <v>0</v>
      </c>
      <c r="V11" s="76">
        <v>0</v>
      </c>
    </row>
    <row r="12" spans="1:22" ht="12.75" customHeight="1">
      <c r="A12" s="14" t="s">
        <v>128</v>
      </c>
      <c r="E12" s="197">
        <v>3000</v>
      </c>
      <c r="F12" s="193"/>
      <c r="G12" s="197">
        <v>2400</v>
      </c>
      <c r="H12" s="172"/>
      <c r="J12" s="172"/>
      <c r="K12" s="172"/>
      <c r="M12" s="201"/>
      <c r="N12" s="76"/>
      <c r="P12" s="76"/>
      <c r="Q12" s="76"/>
      <c r="S12" s="172"/>
      <c r="V12" s="172"/>
    </row>
    <row r="13" spans="1:22" ht="12.75" customHeight="1">
      <c r="A13" s="14" t="s">
        <v>208</v>
      </c>
      <c r="E13" s="197"/>
      <c r="F13" s="193"/>
      <c r="G13" s="197">
        <v>-466</v>
      </c>
      <c r="H13" s="172"/>
      <c r="J13" s="172">
        <v>-3</v>
      </c>
      <c r="K13" s="172"/>
      <c r="M13" s="201"/>
      <c r="N13" s="76"/>
      <c r="P13" s="76"/>
      <c r="Q13" s="76"/>
      <c r="S13" s="76"/>
      <c r="V13" s="76"/>
    </row>
    <row r="14" spans="1:22" ht="12.75" customHeight="1">
      <c r="A14" s="14" t="s">
        <v>358</v>
      </c>
      <c r="E14" s="202">
        <v>793</v>
      </c>
      <c r="F14" s="193" t="s">
        <v>40</v>
      </c>
      <c r="G14" s="202">
        <v>779</v>
      </c>
      <c r="H14" s="141"/>
      <c r="J14" s="203">
        <f>J83</f>
        <v>2273.573</v>
      </c>
      <c r="K14" s="141"/>
      <c r="M14" s="204">
        <f>M83</f>
        <v>1913.1830000000002</v>
      </c>
      <c r="N14" s="80"/>
      <c r="P14" s="203">
        <f>P83</f>
        <v>2070.633</v>
      </c>
      <c r="Q14" s="80"/>
      <c r="S14" s="203">
        <f>S83</f>
        <v>1988.808</v>
      </c>
      <c r="V14" s="203">
        <f>V83</f>
        <v>1904.2580000000003</v>
      </c>
    </row>
    <row r="15" spans="1:22" ht="12.75" customHeight="1">
      <c r="A15" s="14" t="s">
        <v>26</v>
      </c>
      <c r="E15" s="197">
        <f>SUM(E8:E14)</f>
        <v>43532</v>
      </c>
      <c r="F15" s="32"/>
      <c r="G15" s="205">
        <f>SUM(G8:G14)</f>
        <v>47164</v>
      </c>
      <c r="H15" s="141"/>
      <c r="J15" s="206">
        <f>SUM(J8:J14)</f>
        <v>51021.172999999995</v>
      </c>
      <c r="K15" s="141"/>
      <c r="M15" s="198">
        <f>SUM(M8:M14)</f>
        <v>52282.547999999995</v>
      </c>
      <c r="N15" s="80"/>
      <c r="P15" s="93">
        <f>SUM(P8:P14)</f>
        <v>54099.232125</v>
      </c>
      <c r="Q15" s="80"/>
      <c r="S15" s="93">
        <f>SUM(S8:S14)</f>
        <v>55718.122103124995</v>
      </c>
      <c r="V15" s="93">
        <f>SUM(V8:V14)</f>
        <v>57376.804955703126</v>
      </c>
    </row>
    <row r="16" spans="5:20" ht="12.75" customHeight="1">
      <c r="E16" s="197"/>
      <c r="F16" s="32"/>
      <c r="G16" s="197"/>
      <c r="H16" s="172"/>
      <c r="J16" s="172"/>
      <c r="K16" s="172"/>
      <c r="M16" s="207"/>
      <c r="T16" s="32"/>
    </row>
    <row r="17" spans="1:30" ht="12.75" customHeight="1">
      <c r="A17" s="14" t="s">
        <v>27</v>
      </c>
      <c r="E17" s="197">
        <v>2750</v>
      </c>
      <c r="F17" s="199" t="s">
        <v>16</v>
      </c>
      <c r="G17" s="197">
        <v>2575</v>
      </c>
      <c r="H17" s="172"/>
      <c r="I17" s="288">
        <v>0</v>
      </c>
      <c r="J17" s="172">
        <f>+G17+(G17*I17)+100</f>
        <v>2675</v>
      </c>
      <c r="K17" s="172"/>
      <c r="L17" s="276">
        <v>0.03</v>
      </c>
      <c r="M17" s="201">
        <f>+J17+(J17*L17)</f>
        <v>2755.25</v>
      </c>
      <c r="N17" s="76"/>
      <c r="O17" s="208">
        <v>0.03</v>
      </c>
      <c r="P17" s="76">
        <f>+M17+(M17*O17)</f>
        <v>2837.9075</v>
      </c>
      <c r="Q17" s="76"/>
      <c r="R17" s="208">
        <v>0.03</v>
      </c>
      <c r="S17" s="76">
        <f>+P17+(P17*R17)</f>
        <v>2923.0447249999997</v>
      </c>
      <c r="U17" s="208">
        <v>0.03</v>
      </c>
      <c r="V17" s="76">
        <f>+S17+(S17*U17)</f>
        <v>3010.7360667499997</v>
      </c>
      <c r="AC17" s="14" t="s">
        <v>375</v>
      </c>
      <c r="AD17" s="76">
        <f>M36</f>
        <v>65898.46299999999</v>
      </c>
    </row>
    <row r="18" spans="1:30" ht="12.75" customHeight="1">
      <c r="A18" s="14" t="s">
        <v>28</v>
      </c>
      <c r="E18" s="197">
        <v>160</v>
      </c>
      <c r="F18" s="32"/>
      <c r="G18" s="197">
        <v>165</v>
      </c>
      <c r="H18" s="172"/>
      <c r="J18" s="172">
        <v>167</v>
      </c>
      <c r="K18" s="172"/>
      <c r="M18" s="201">
        <v>167</v>
      </c>
      <c r="N18" s="76"/>
      <c r="P18" s="76">
        <v>167</v>
      </c>
      <c r="Q18" s="76"/>
      <c r="S18" s="76">
        <v>167</v>
      </c>
      <c r="V18" s="76">
        <v>167</v>
      </c>
      <c r="AC18" s="14" t="s">
        <v>376</v>
      </c>
      <c r="AD18" s="14">
        <v>-2106</v>
      </c>
    </row>
    <row r="19" spans="1:30" ht="12.75" customHeight="1">
      <c r="A19" s="14" t="s">
        <v>359</v>
      </c>
      <c r="C19" s="210"/>
      <c r="E19" s="197">
        <f>+E87</f>
        <v>1084</v>
      </c>
      <c r="F19" s="32"/>
      <c r="G19" s="197">
        <v>1078</v>
      </c>
      <c r="H19" s="172"/>
      <c r="J19" s="172">
        <f>+J87</f>
        <v>1178</v>
      </c>
      <c r="K19" s="172"/>
      <c r="M19" s="201">
        <f>+M87</f>
        <v>1178</v>
      </c>
      <c r="N19" s="76"/>
      <c r="P19" s="172">
        <f>+P87</f>
        <v>1178</v>
      </c>
      <c r="Q19" s="172"/>
      <c r="R19" s="32"/>
      <c r="S19" s="172">
        <f>+S87</f>
        <v>1178</v>
      </c>
      <c r="T19" s="32"/>
      <c r="U19" s="32"/>
      <c r="V19" s="172">
        <f>+V87</f>
        <v>1178</v>
      </c>
      <c r="AD19" s="76">
        <f>SUM(AD17:AD18)</f>
        <v>63792.46299999999</v>
      </c>
    </row>
    <row r="20" spans="1:22" ht="12.75" customHeight="1">
      <c r="A20" s="14" t="s">
        <v>29</v>
      </c>
      <c r="E20" s="197"/>
      <c r="F20" s="32"/>
      <c r="G20" s="197"/>
      <c r="H20" s="172"/>
      <c r="J20" s="172"/>
      <c r="K20" s="172"/>
      <c r="M20" s="201"/>
      <c r="N20" s="76"/>
      <c r="P20" s="76"/>
      <c r="Q20" s="76"/>
      <c r="S20" s="76"/>
      <c r="V20" s="76"/>
    </row>
    <row r="21" spans="1:30" ht="12.75" customHeight="1">
      <c r="A21" s="14" t="s">
        <v>30</v>
      </c>
      <c r="E21" s="197">
        <f>+SUM(E15:E20)</f>
        <v>47526</v>
      </c>
      <c r="F21" s="32"/>
      <c r="G21" s="197">
        <f>+SUM(G15:G20)</f>
        <v>50982</v>
      </c>
      <c r="H21" s="172"/>
      <c r="J21" s="172">
        <f>+SUM(J15:J20)</f>
        <v>55041.172999999995</v>
      </c>
      <c r="K21" s="172"/>
      <c r="M21" s="201">
        <f>+SUM(M15:M20)</f>
        <v>56382.797999999995</v>
      </c>
      <c r="N21" s="76"/>
      <c r="P21" s="76">
        <f>+SUM(P15:P20)</f>
        <v>58282.139625</v>
      </c>
      <c r="Q21" s="76"/>
      <c r="S21" s="76">
        <f>+SUM(S15:S20)</f>
        <v>59986.166828124995</v>
      </c>
      <c r="V21" s="76">
        <f>+SUM(V15:V20)</f>
        <v>61732.54102245312</v>
      </c>
      <c r="AC21" s="208">
        <v>0.48</v>
      </c>
      <c r="AD21" s="14">
        <f>SUM(AD19*AC21)</f>
        <v>30620.38223999999</v>
      </c>
    </row>
    <row r="22" spans="5:32" ht="12.75" customHeight="1">
      <c r="E22" s="197"/>
      <c r="F22" s="32"/>
      <c r="G22" s="197"/>
      <c r="H22" s="172"/>
      <c r="J22" s="172"/>
      <c r="K22" s="172"/>
      <c r="M22" s="207"/>
      <c r="AC22" s="208">
        <v>0.52</v>
      </c>
      <c r="AD22" s="14">
        <f>SUM(AD19*AC22)</f>
        <v>33172.08076</v>
      </c>
      <c r="AE22" s="14">
        <v>2106</v>
      </c>
      <c r="AF22" s="14">
        <f>SUM(AD22:AE22)</f>
        <v>35278.08076</v>
      </c>
    </row>
    <row r="23" spans="1:22" ht="12.75" customHeight="1">
      <c r="A23" s="14" t="s">
        <v>55</v>
      </c>
      <c r="E23" s="197">
        <v>432</v>
      </c>
      <c r="F23" s="32"/>
      <c r="G23" s="197">
        <v>453</v>
      </c>
      <c r="H23" s="172"/>
      <c r="J23" s="172">
        <v>412</v>
      </c>
      <c r="K23" s="172"/>
      <c r="M23" s="201">
        <v>415</v>
      </c>
      <c r="N23" s="76"/>
      <c r="P23" s="76">
        <v>432</v>
      </c>
      <c r="Q23" s="76"/>
      <c r="S23" s="76">
        <v>432</v>
      </c>
      <c r="V23" s="76">
        <v>432</v>
      </c>
    </row>
    <row r="24" spans="1:22" ht="12.75" customHeight="1">
      <c r="A24" s="14" t="s">
        <v>56</v>
      </c>
      <c r="E24" s="197">
        <v>425</v>
      </c>
      <c r="F24" s="32"/>
      <c r="G24" s="197">
        <v>386</v>
      </c>
      <c r="H24" s="172"/>
      <c r="J24" s="172">
        <v>471</v>
      </c>
      <c r="K24" s="172"/>
      <c r="M24" s="201">
        <v>420</v>
      </c>
      <c r="N24" s="76"/>
      <c r="P24" s="76">
        <v>420</v>
      </c>
      <c r="Q24" s="76"/>
      <c r="S24" s="76">
        <v>420</v>
      </c>
      <c r="V24" s="76">
        <v>420</v>
      </c>
    </row>
    <row r="25" spans="1:13" ht="12" customHeight="1">
      <c r="A25" s="14" t="s">
        <v>31</v>
      </c>
      <c r="E25" s="197"/>
      <c r="F25" s="32"/>
      <c r="G25" s="197"/>
      <c r="H25" s="172"/>
      <c r="I25" s="289"/>
      <c r="J25" s="172"/>
      <c r="K25" s="172"/>
      <c r="M25" s="207"/>
    </row>
    <row r="26" spans="2:22" ht="12" customHeight="1">
      <c r="B26" s="14" t="s">
        <v>32</v>
      </c>
      <c r="E26" s="197">
        <v>50</v>
      </c>
      <c r="F26" s="209" t="s">
        <v>16</v>
      </c>
      <c r="G26" s="197">
        <v>50</v>
      </c>
      <c r="H26" s="172"/>
      <c r="I26" s="288" t="s">
        <v>16</v>
      </c>
      <c r="J26" s="172">
        <v>50</v>
      </c>
      <c r="K26" s="172"/>
      <c r="L26" s="276">
        <v>0.02</v>
      </c>
      <c r="M26" s="201">
        <f>+J26+(J26*L26)</f>
        <v>51</v>
      </c>
      <c r="N26" s="76"/>
      <c r="O26" s="208">
        <v>0.02</v>
      </c>
      <c r="P26" s="76">
        <f>+M26+(M26*O26)</f>
        <v>52.02</v>
      </c>
      <c r="Q26" s="76"/>
      <c r="R26" s="208">
        <v>0.02</v>
      </c>
      <c r="S26" s="76">
        <f>+P26+(P26*R26)</f>
        <v>53.0604</v>
      </c>
      <c r="U26" s="208">
        <v>0.02</v>
      </c>
      <c r="V26" s="76">
        <f>+S26+(S26*U26)</f>
        <v>54.121608</v>
      </c>
    </row>
    <row r="27" spans="2:22" ht="12" customHeight="1">
      <c r="B27" s="14" t="s">
        <v>100</v>
      </c>
      <c r="E27" s="197">
        <v>92</v>
      </c>
      <c r="F27" s="209" t="s">
        <v>16</v>
      </c>
      <c r="G27" s="197">
        <v>105</v>
      </c>
      <c r="H27" s="172"/>
      <c r="I27" s="288" t="s">
        <v>16</v>
      </c>
      <c r="J27" s="172">
        <v>98</v>
      </c>
      <c r="K27" s="172"/>
      <c r="L27" s="276">
        <v>0.02</v>
      </c>
      <c r="M27" s="201">
        <f>+J27+(J27*L27)</f>
        <v>99.96</v>
      </c>
      <c r="N27" s="76"/>
      <c r="O27" s="208">
        <v>0.02</v>
      </c>
      <c r="P27" s="76">
        <f>+M27+(M27*O27)</f>
        <v>101.9592</v>
      </c>
      <c r="Q27" s="76"/>
      <c r="R27" s="208">
        <v>0.02</v>
      </c>
      <c r="S27" s="76">
        <f>+P27+(P27*R27)</f>
        <v>103.998384</v>
      </c>
      <c r="U27" s="208">
        <v>0.02</v>
      </c>
      <c r="V27" s="76">
        <f>+S27+(S27*U27)</f>
        <v>106.07835168</v>
      </c>
    </row>
    <row r="28" spans="2:22" ht="12" customHeight="1">
      <c r="B28" s="14" t="s">
        <v>33</v>
      </c>
      <c r="E28" s="197">
        <v>510</v>
      </c>
      <c r="F28" s="209" t="s">
        <v>16</v>
      </c>
      <c r="G28" s="197">
        <v>535</v>
      </c>
      <c r="H28" s="172"/>
      <c r="I28" s="288" t="s">
        <v>16</v>
      </c>
      <c r="J28" s="172">
        <v>548</v>
      </c>
      <c r="K28" s="172"/>
      <c r="L28" s="276">
        <v>0.02</v>
      </c>
      <c r="M28" s="201">
        <f>+J28+(J28*L28)</f>
        <v>558.96</v>
      </c>
      <c r="N28" s="76"/>
      <c r="O28" s="208">
        <v>0.02</v>
      </c>
      <c r="P28" s="76">
        <f>+M28+(M28*O28)</f>
        <v>570.1392000000001</v>
      </c>
      <c r="Q28" s="76"/>
      <c r="R28" s="208">
        <v>0.02</v>
      </c>
      <c r="S28" s="76">
        <f>+P28+(P28*R28)</f>
        <v>581.5419840000001</v>
      </c>
      <c r="U28" s="208">
        <v>0.02</v>
      </c>
      <c r="V28" s="76">
        <f>+S28+(S28*U28)</f>
        <v>593.1728236800001</v>
      </c>
    </row>
    <row r="29" spans="2:22" ht="12" customHeight="1">
      <c r="B29" s="14" t="s">
        <v>360</v>
      </c>
      <c r="E29" s="202">
        <f>+E89</f>
        <v>510</v>
      </c>
      <c r="F29" s="209" t="s">
        <v>16</v>
      </c>
      <c r="G29" s="202">
        <f>+G89</f>
        <v>451</v>
      </c>
      <c r="H29" s="80"/>
      <c r="I29" s="288" t="s">
        <v>16</v>
      </c>
      <c r="J29" s="203">
        <v>601</v>
      </c>
      <c r="K29" s="141"/>
      <c r="L29" s="276">
        <v>0.02</v>
      </c>
      <c r="M29" s="204">
        <f>+M89</f>
        <v>613.02</v>
      </c>
      <c r="N29" s="80"/>
      <c r="O29" s="208">
        <v>0.02</v>
      </c>
      <c r="P29" s="104">
        <f>+P89</f>
        <v>625.2804</v>
      </c>
      <c r="Q29" s="80"/>
      <c r="R29" s="208">
        <v>0.02</v>
      </c>
      <c r="S29" s="104">
        <f>+S89</f>
        <v>637.786008</v>
      </c>
      <c r="U29" s="208">
        <v>0.02</v>
      </c>
      <c r="V29" s="104">
        <f>+V89</f>
        <v>650.54172816</v>
      </c>
    </row>
    <row r="30" spans="1:22" ht="12" customHeight="1">
      <c r="A30" s="14" t="s">
        <v>35</v>
      </c>
      <c r="E30" s="197">
        <f>SUM(E26:E29)</f>
        <v>1162</v>
      </c>
      <c r="F30" s="209"/>
      <c r="G30" s="205">
        <f>SUM(G26:G29)</f>
        <v>1141</v>
      </c>
      <c r="H30" s="141"/>
      <c r="J30" s="206">
        <f>SUM(J26:J29)</f>
        <v>1297</v>
      </c>
      <c r="K30" s="141"/>
      <c r="M30" s="198">
        <f>SUM(M26:M29)</f>
        <v>1322.94</v>
      </c>
      <c r="N30" s="80"/>
      <c r="P30" s="93">
        <f>SUM(P26:P29)</f>
        <v>1349.3988</v>
      </c>
      <c r="Q30" s="80"/>
      <c r="S30" s="93">
        <f>SUM(S26:S29)</f>
        <v>1376.386776</v>
      </c>
      <c r="V30" s="93">
        <f>SUM(V26:V29)</f>
        <v>1403.9145115200001</v>
      </c>
    </row>
    <row r="31" spans="1:22" ht="12" customHeight="1">
      <c r="A31" s="14" t="s">
        <v>329</v>
      </c>
      <c r="E31" s="197">
        <v>506</v>
      </c>
      <c r="F31" s="32"/>
      <c r="G31" s="197">
        <v>400</v>
      </c>
      <c r="H31" s="172"/>
      <c r="J31" s="141">
        <v>225</v>
      </c>
      <c r="K31" s="141"/>
      <c r="M31" s="201">
        <v>300</v>
      </c>
      <c r="N31" s="141"/>
      <c r="P31" s="141">
        <v>300</v>
      </c>
      <c r="Q31" s="141"/>
      <c r="S31" s="141">
        <v>300</v>
      </c>
      <c r="V31" s="141">
        <v>300</v>
      </c>
    </row>
    <row r="32" spans="5:13" ht="12" customHeight="1">
      <c r="E32" s="211"/>
      <c r="F32" s="32"/>
      <c r="G32" s="197"/>
      <c r="H32" s="172"/>
      <c r="J32" s="172"/>
      <c r="K32" s="172"/>
      <c r="M32" s="207"/>
    </row>
    <row r="33" spans="1:22" ht="12" customHeight="1">
      <c r="A33" s="14" t="s">
        <v>361</v>
      </c>
      <c r="E33" s="197">
        <f>E100</f>
        <v>7841</v>
      </c>
      <c r="F33" s="32"/>
      <c r="G33" s="197">
        <f>+G100</f>
        <v>7463</v>
      </c>
      <c r="H33" s="172"/>
      <c r="J33" s="172">
        <f>+J100</f>
        <v>6528</v>
      </c>
      <c r="K33" s="172"/>
      <c r="M33" s="201">
        <f>+M100</f>
        <v>5974.724999999999</v>
      </c>
      <c r="N33" s="76"/>
      <c r="P33" s="76">
        <f>+P100</f>
        <v>6105.381249999999</v>
      </c>
      <c r="Q33" s="76"/>
      <c r="S33" s="76">
        <f>+S100</f>
        <v>6242.5703125</v>
      </c>
      <c r="V33" s="76">
        <f>+V100</f>
        <v>6386.618828125</v>
      </c>
    </row>
    <row r="34" spans="1:22" ht="12" customHeight="1">
      <c r="A34" s="14" t="s">
        <v>362</v>
      </c>
      <c r="E34" s="197">
        <f>+E112</f>
        <v>2752</v>
      </c>
      <c r="F34" s="32"/>
      <c r="G34" s="197">
        <f>+G112</f>
        <v>1024</v>
      </c>
      <c r="H34" s="172"/>
      <c r="J34" s="172">
        <f>+J112</f>
        <v>1351</v>
      </c>
      <c r="K34" s="172"/>
      <c r="M34" s="201">
        <f>+M112</f>
        <v>1083</v>
      </c>
      <c r="N34" s="76"/>
      <c r="P34" s="76">
        <f>+P112</f>
        <v>745</v>
      </c>
      <c r="Q34" s="76"/>
      <c r="S34" s="76">
        <f>+S112</f>
        <v>745</v>
      </c>
      <c r="V34" s="76">
        <f>+V112</f>
        <v>745</v>
      </c>
    </row>
    <row r="35" spans="5:27" ht="12" customHeight="1">
      <c r="E35" s="211"/>
      <c r="G35" s="197"/>
      <c r="H35" s="172"/>
      <c r="J35" s="172"/>
      <c r="K35" s="172"/>
      <c r="M35" s="207"/>
      <c r="Z35" s="208"/>
      <c r="AA35" s="208"/>
    </row>
    <row r="36" spans="1:27" ht="12" customHeight="1">
      <c r="A36" s="14" t="s">
        <v>92</v>
      </c>
      <c r="E36" s="205">
        <f>+E21+E23+E24+E30++E31+E33+E34</f>
        <v>60644</v>
      </c>
      <c r="G36" s="205">
        <f>+G21+G23+G24+G30+G31+G33+G34</f>
        <v>61849</v>
      </c>
      <c r="H36" s="141"/>
      <c r="J36" s="206">
        <f>+J21+J23+J24+J30++J31+J33+J34</f>
        <v>65325.172999999995</v>
      </c>
      <c r="K36" s="141"/>
      <c r="M36" s="198">
        <f>+M21+M23+M24+M30++M31+M33+M34</f>
        <v>65898.46299999999</v>
      </c>
      <c r="N36" s="80"/>
      <c r="P36" s="93">
        <f>+P21+P23+P24+P30++P31+P33+P34</f>
        <v>67633.91967500001</v>
      </c>
      <c r="Q36" s="80"/>
      <c r="S36" s="93">
        <f>+S21+S23+S24+S30++S31+S33+S34</f>
        <v>69502.12391662499</v>
      </c>
      <c r="V36" s="93">
        <f>+V21+V23+V24+V30++V31+V33+V34</f>
        <v>71420.07436209812</v>
      </c>
      <c r="AA36" s="76">
        <f>SUM(M36+75+100)</f>
        <v>66073.46299999999</v>
      </c>
    </row>
    <row r="37" spans="2:27" ht="12" customHeight="1">
      <c r="B37" s="14" t="s">
        <v>363</v>
      </c>
      <c r="E37" s="212"/>
      <c r="G37" s="212"/>
      <c r="H37" s="141"/>
      <c r="J37" s="141"/>
      <c r="K37" s="141"/>
      <c r="M37" s="204"/>
      <c r="N37" s="80"/>
      <c r="P37" s="80"/>
      <c r="Q37" s="80"/>
      <c r="S37" s="80"/>
      <c r="V37" s="80"/>
      <c r="Z37" s="208"/>
      <c r="AA37" s="208"/>
    </row>
    <row r="38" spans="5:8" ht="12" customHeight="1">
      <c r="E38" s="211"/>
      <c r="G38" s="197">
        <f>G206+G44+G45</f>
        <v>25243</v>
      </c>
      <c r="H38" s="172"/>
    </row>
    <row r="39" spans="1:7" ht="12" customHeight="1">
      <c r="A39" s="179" t="s">
        <v>8</v>
      </c>
      <c r="E39" s="211"/>
      <c r="G39" s="211"/>
    </row>
    <row r="40" spans="1:29" ht="12" customHeight="1">
      <c r="A40" s="179"/>
      <c r="E40" s="211"/>
      <c r="G40" s="211"/>
      <c r="AC40" s="14" t="s">
        <v>354</v>
      </c>
    </row>
    <row r="41" spans="1:33" ht="12" customHeight="1">
      <c r="A41" s="14" t="s">
        <v>328</v>
      </c>
      <c r="E41" s="197">
        <f>SUM(E203:E206)</f>
        <v>32417</v>
      </c>
      <c r="F41" s="200" t="s">
        <v>16</v>
      </c>
      <c r="G41" s="197">
        <f>SUM(G203:G206)</f>
        <v>33044.807</v>
      </c>
      <c r="H41" s="172"/>
      <c r="I41" s="287"/>
      <c r="J41" s="172">
        <f>SUM(J203:J206)</f>
        <v>33556.133</v>
      </c>
      <c r="K41" s="172"/>
      <c r="L41" s="275" t="s">
        <v>16</v>
      </c>
      <c r="M41" s="198">
        <f>SUM(M203:M206)</f>
        <v>33969.45433</v>
      </c>
      <c r="N41" s="172"/>
      <c r="O41" s="199" t="s">
        <v>16</v>
      </c>
      <c r="P41" s="172">
        <f>SUM(P203:P206)</f>
        <v>34988.5379599</v>
      </c>
      <c r="Q41" s="172"/>
      <c r="R41" s="199" t="s">
        <v>16</v>
      </c>
      <c r="S41" s="172">
        <f>SUM(S203:S206)</f>
        <v>36038.194098697</v>
      </c>
      <c r="T41" s="32"/>
      <c r="U41" s="199" t="s">
        <v>16</v>
      </c>
      <c r="V41" s="172">
        <f>SUM(V203:V206)</f>
        <v>37119.33992165791</v>
      </c>
      <c r="AA41" s="198">
        <f>SUM(AA203:AA206)</f>
        <v>13532.262</v>
      </c>
      <c r="AB41" s="14" t="s">
        <v>372</v>
      </c>
      <c r="AC41" s="14" t="s">
        <v>350</v>
      </c>
      <c r="AD41" s="14" t="s">
        <v>351</v>
      </c>
      <c r="AE41" s="14" t="s">
        <v>352</v>
      </c>
      <c r="AF41" s="14" t="s">
        <v>353</v>
      </c>
      <c r="AG41" s="14" t="s">
        <v>218</v>
      </c>
    </row>
    <row r="42" spans="1:33" ht="12" customHeight="1">
      <c r="A42" s="14" t="s">
        <v>364</v>
      </c>
      <c r="E42" s="197">
        <f>5291+600</f>
        <v>5891</v>
      </c>
      <c r="F42" s="200">
        <f>G42/E42-1</f>
        <v>0.10548141232388386</v>
      </c>
      <c r="G42" s="197">
        <f>'FY03 Detail'!$K$69/1000</f>
        <v>6512.391</v>
      </c>
      <c r="H42" s="172"/>
      <c r="I42" s="287" t="s">
        <v>16</v>
      </c>
      <c r="J42" s="172">
        <f>SUM('FY04 Detail'!$L$68/1000)+2435+1106</f>
        <v>6739.811</v>
      </c>
      <c r="K42" s="172"/>
      <c r="L42" s="275">
        <v>0.16</v>
      </c>
      <c r="M42" s="201">
        <f>AG42</f>
        <v>7654.6</v>
      </c>
      <c r="N42" s="76"/>
      <c r="O42" s="200">
        <v>0.15</v>
      </c>
      <c r="P42" s="76">
        <f>+M42*(1+O42)</f>
        <v>8802.789999999999</v>
      </c>
      <c r="Q42" s="76"/>
      <c r="R42" s="200">
        <v>0.15</v>
      </c>
      <c r="S42" s="76">
        <f>+P42*(1+R42)</f>
        <v>10123.208499999999</v>
      </c>
      <c r="U42" s="200">
        <v>0.15</v>
      </c>
      <c r="V42" s="76">
        <f>+S42*(1+U42)</f>
        <v>11641.689774999997</v>
      </c>
      <c r="AA42" s="213">
        <f>AH43</f>
        <v>3628.086</v>
      </c>
      <c r="AB42" s="14" t="s">
        <v>372</v>
      </c>
      <c r="AC42" s="14">
        <v>3485</v>
      </c>
      <c r="AD42" s="213">
        <f>SUM(AC42*116%)</f>
        <v>4042.6</v>
      </c>
      <c r="AE42" s="14">
        <v>77</v>
      </c>
      <c r="AF42" s="14">
        <v>50</v>
      </c>
      <c r="AG42" s="14">
        <f>SUM(AC42:AF42)</f>
        <v>7654.6</v>
      </c>
    </row>
    <row r="43" spans="1:34" ht="12" customHeight="1">
      <c r="A43" s="14" t="s">
        <v>10</v>
      </c>
      <c r="E43" s="197">
        <v>2327</v>
      </c>
      <c r="F43" s="200">
        <f>G43/E43-1</f>
        <v>0.08828749462827679</v>
      </c>
      <c r="G43" s="197">
        <f>'FY03 Detail'!$N$65/1000</f>
        <v>2532.445</v>
      </c>
      <c r="H43" s="172"/>
      <c r="I43" s="287" t="s">
        <v>16</v>
      </c>
      <c r="J43" s="172">
        <f>'FY04 Detail'!$O$68/1000</f>
        <v>2865.537</v>
      </c>
      <c r="K43" s="172"/>
      <c r="L43" s="275">
        <v>0.06</v>
      </c>
      <c r="M43" s="201">
        <f>+J43*(1+L43)</f>
        <v>3037.46922</v>
      </c>
      <c r="N43" s="76"/>
      <c r="O43" s="200">
        <v>0.05</v>
      </c>
      <c r="P43" s="76">
        <f>+M43*(1+O43)</f>
        <v>3189.342681</v>
      </c>
      <c r="Q43" s="76"/>
      <c r="R43" s="200">
        <v>0.05</v>
      </c>
      <c r="S43" s="76">
        <f>+P43*(1+R43)</f>
        <v>3348.8098150500005</v>
      </c>
      <c r="U43" s="200">
        <v>0.05</v>
      </c>
      <c r="V43" s="76">
        <f>+S43*(1+U43)</f>
        <v>3516.2503058025004</v>
      </c>
      <c r="AA43" s="213">
        <f>SUM('FY05 Detail'!O67)/1000</f>
        <v>3024.17</v>
      </c>
      <c r="AG43" s="14" t="s">
        <v>383</v>
      </c>
      <c r="AH43" s="213">
        <f>SUM('FY05 Detail'!L67)/1000</f>
        <v>3628.086</v>
      </c>
    </row>
    <row r="44" spans="1:22" ht="12" customHeight="1">
      <c r="A44" s="14" t="s">
        <v>365</v>
      </c>
      <c r="E44" s="197">
        <f aca="true" t="shared" si="0" ref="E44:S44">+E127</f>
        <v>3429</v>
      </c>
      <c r="F44" s="200">
        <f>G44/E44-1</f>
        <v>-0.08398950131233596</v>
      </c>
      <c r="G44" s="197">
        <f t="shared" si="0"/>
        <v>3141</v>
      </c>
      <c r="H44" s="76"/>
      <c r="I44" s="287" t="s">
        <v>16</v>
      </c>
      <c r="J44" s="172">
        <f>+J127</f>
        <v>3432</v>
      </c>
      <c r="K44" s="172"/>
      <c r="L44" s="275">
        <f t="shared" si="0"/>
        <v>0.05</v>
      </c>
      <c r="M44" s="201">
        <f t="shared" si="0"/>
        <v>3603.6</v>
      </c>
      <c r="N44" s="76"/>
      <c r="O44" s="200">
        <f t="shared" si="0"/>
        <v>0.048</v>
      </c>
      <c r="P44" s="76">
        <f t="shared" si="0"/>
        <v>3776.5728</v>
      </c>
      <c r="Q44" s="76"/>
      <c r="R44" s="200">
        <f t="shared" si="0"/>
        <v>0.048</v>
      </c>
      <c r="S44" s="76">
        <f t="shared" si="0"/>
        <v>3957.8482943999998</v>
      </c>
      <c r="U44" s="200">
        <f>+U127</f>
        <v>0.048</v>
      </c>
      <c r="V44" s="76">
        <f>+V127</f>
        <v>4147.8250125312</v>
      </c>
    </row>
    <row r="45" spans="1:22" ht="12" customHeight="1">
      <c r="A45" s="14" t="s">
        <v>124</v>
      </c>
      <c r="E45" s="197">
        <v>1867</v>
      </c>
      <c r="F45" s="200">
        <f>G45/E45-1</f>
        <v>0.1794322442420997</v>
      </c>
      <c r="G45" s="197">
        <v>2202</v>
      </c>
      <c r="H45" s="172"/>
      <c r="I45" s="287">
        <f>+(J45-G45)/G45</f>
        <v>0.11625794732061762</v>
      </c>
      <c r="J45" s="172">
        <v>2458</v>
      </c>
      <c r="K45" s="172"/>
      <c r="L45" s="287">
        <f>+(M45-J45)/J45</f>
        <v>0.05044751830756713</v>
      </c>
      <c r="M45" s="201">
        <f>2507+75</f>
        <v>2582</v>
      </c>
      <c r="N45" s="76"/>
      <c r="O45" s="200">
        <v>0.165</v>
      </c>
      <c r="P45" s="76">
        <f>+M45*(1+O45)</f>
        <v>3008.03</v>
      </c>
      <c r="Q45" s="76"/>
      <c r="R45" s="200">
        <v>0.165</v>
      </c>
      <c r="S45" s="76">
        <f>+P45*(1+R45)</f>
        <v>3504.3549500000004</v>
      </c>
      <c r="U45" s="200">
        <v>0.165</v>
      </c>
      <c r="V45" s="76">
        <f>+S45*(1+U45)</f>
        <v>4082.5735167500006</v>
      </c>
    </row>
    <row r="46" spans="1:37" ht="12" customHeight="1">
      <c r="A46" s="14" t="s">
        <v>11</v>
      </c>
      <c r="E46" s="197">
        <v>645</v>
      </c>
      <c r="F46" s="200">
        <f>G46/E46-1</f>
        <v>-0.21705426356589153</v>
      </c>
      <c r="G46" s="197">
        <f>504+1</f>
        <v>505</v>
      </c>
      <c r="H46" s="172"/>
      <c r="I46" s="287" t="s">
        <v>16</v>
      </c>
      <c r="J46" s="172">
        <f>483+114</f>
        <v>597</v>
      </c>
      <c r="K46" s="172"/>
      <c r="L46" s="275">
        <v>0</v>
      </c>
      <c r="M46" s="201">
        <f>+J46*(1+L46)</f>
        <v>597</v>
      </c>
      <c r="N46" s="76"/>
      <c r="O46" s="200">
        <v>0.02</v>
      </c>
      <c r="P46" s="76">
        <f>+M46*(1+O46)</f>
        <v>608.94</v>
      </c>
      <c r="Q46" s="76"/>
      <c r="R46" s="200">
        <v>0.02</v>
      </c>
      <c r="S46" s="76">
        <f>+P46*(1+R46)</f>
        <v>621.1188000000001</v>
      </c>
      <c r="U46" s="200">
        <v>0.02</v>
      </c>
      <c r="V46" s="76">
        <f>+S46*(1+U46)</f>
        <v>633.5411760000001</v>
      </c>
      <c r="AA46" s="14">
        <v>597</v>
      </c>
      <c r="AK46" s="76"/>
    </row>
    <row r="47" spans="1:27" ht="12" customHeight="1">
      <c r="A47" s="14" t="s">
        <v>99</v>
      </c>
      <c r="E47" s="197">
        <v>317</v>
      </c>
      <c r="F47" s="214" t="s">
        <v>16</v>
      </c>
      <c r="G47" s="197">
        <v>0</v>
      </c>
      <c r="H47" s="172"/>
      <c r="I47" s="287" t="s">
        <v>16</v>
      </c>
      <c r="J47" s="172">
        <v>0</v>
      </c>
      <c r="K47" s="172"/>
      <c r="L47" s="275" t="s">
        <v>21</v>
      </c>
      <c r="M47" s="201">
        <v>0</v>
      </c>
      <c r="N47" s="76"/>
      <c r="O47" s="214" t="s">
        <v>21</v>
      </c>
      <c r="P47" s="76">
        <v>0</v>
      </c>
      <c r="Q47" s="76"/>
      <c r="R47" s="214" t="s">
        <v>21</v>
      </c>
      <c r="S47" s="76">
        <v>0</v>
      </c>
      <c r="T47" s="214" t="s">
        <v>16</v>
      </c>
      <c r="U47" s="214" t="s">
        <v>21</v>
      </c>
      <c r="V47" s="76">
        <v>0</v>
      </c>
      <c r="AA47" s="14">
        <v>0</v>
      </c>
    </row>
    <row r="48" spans="1:27" ht="12" customHeight="1">
      <c r="A48" s="14" t="s">
        <v>366</v>
      </c>
      <c r="C48" s="215" t="s">
        <v>16</v>
      </c>
      <c r="E48" s="197">
        <f>+E135</f>
        <v>1423</v>
      </c>
      <c r="F48" s="200">
        <f>G48/E48-1</f>
        <v>0.024595924104005684</v>
      </c>
      <c r="G48" s="197">
        <f>+G135</f>
        <v>1458</v>
      </c>
      <c r="H48" s="172"/>
      <c r="I48" s="287" t="s">
        <v>16</v>
      </c>
      <c r="J48" s="172">
        <v>1456</v>
      </c>
      <c r="K48" s="172"/>
      <c r="L48" s="275">
        <v>0.025</v>
      </c>
      <c r="M48" s="201">
        <f>+M135</f>
        <v>1492.4</v>
      </c>
      <c r="N48" s="76"/>
      <c r="O48" s="200">
        <v>0.025</v>
      </c>
      <c r="P48" s="76">
        <f>+P135</f>
        <v>1529.71</v>
      </c>
      <c r="Q48" s="76"/>
      <c r="R48" s="200">
        <v>0.025</v>
      </c>
      <c r="S48" s="76">
        <f>+S135</f>
        <v>1567.95275</v>
      </c>
      <c r="U48" s="200">
        <v>0.025</v>
      </c>
      <c r="V48" s="76">
        <f>+V135</f>
        <v>1607.15156875</v>
      </c>
      <c r="AA48" s="14">
        <v>1492</v>
      </c>
    </row>
    <row r="49" spans="1:27" ht="12" customHeight="1">
      <c r="A49" s="14" t="s">
        <v>367</v>
      </c>
      <c r="E49" s="197">
        <f>+E142</f>
        <v>3682</v>
      </c>
      <c r="F49" s="200">
        <f>G49/E49-1</f>
        <v>0.036063552417164635</v>
      </c>
      <c r="G49" s="197">
        <f>$G$142</f>
        <v>3814.786</v>
      </c>
      <c r="H49" s="172"/>
      <c r="I49" s="287" t="s">
        <v>16</v>
      </c>
      <c r="J49" s="172">
        <f>+J142</f>
        <v>3794.482</v>
      </c>
      <c r="K49" s="172"/>
      <c r="L49" s="275" t="s">
        <v>16</v>
      </c>
      <c r="M49" s="201">
        <f>+M142</f>
        <v>4113.42637</v>
      </c>
      <c r="N49" s="76"/>
      <c r="O49" s="200">
        <v>0.03</v>
      </c>
      <c r="P49" s="76">
        <f>+P142</f>
        <v>4236.8291611</v>
      </c>
      <c r="Q49" s="76"/>
      <c r="R49" s="200">
        <v>0.03</v>
      </c>
      <c r="S49" s="76">
        <f>+S142</f>
        <v>4363.934035933001</v>
      </c>
      <c r="U49" s="200">
        <v>0.03</v>
      </c>
      <c r="V49" s="76">
        <f>+V142</f>
        <v>4494.85205701099</v>
      </c>
      <c r="AA49" s="201">
        <f>+AA142</f>
        <v>3933.6</v>
      </c>
    </row>
    <row r="50" spans="1:27" ht="12" customHeight="1">
      <c r="A50" s="14" t="s">
        <v>368</v>
      </c>
      <c r="E50" s="197">
        <f>+E147</f>
        <v>2564</v>
      </c>
      <c r="F50" s="200">
        <f>G50/E50-1</f>
        <v>0.017550702028081178</v>
      </c>
      <c r="G50" s="197">
        <v>2609</v>
      </c>
      <c r="H50" s="172"/>
      <c r="I50" s="287" t="s">
        <v>16</v>
      </c>
      <c r="J50" s="172">
        <v>2626</v>
      </c>
      <c r="K50" s="172"/>
      <c r="L50" s="275" t="s">
        <v>16</v>
      </c>
      <c r="M50" s="201">
        <f>M147</f>
        <v>2733.61</v>
      </c>
      <c r="N50" s="172"/>
      <c r="O50" s="200" t="s">
        <v>16</v>
      </c>
      <c r="P50" s="172">
        <f>P147</f>
        <v>2223.51</v>
      </c>
      <c r="Q50" s="172"/>
      <c r="R50" s="200" t="s">
        <v>16</v>
      </c>
      <c r="S50" s="172">
        <f>S147</f>
        <v>2287.29</v>
      </c>
      <c r="U50" s="200" t="s">
        <v>16</v>
      </c>
      <c r="V50" s="172">
        <f>V147</f>
        <v>2350.77</v>
      </c>
      <c r="AA50" s="201">
        <f>AA147</f>
        <v>2717.08</v>
      </c>
    </row>
    <row r="51" spans="1:27" ht="12" customHeight="1">
      <c r="A51" s="14" t="s">
        <v>12</v>
      </c>
      <c r="E51" s="197">
        <v>400</v>
      </c>
      <c r="F51" s="200">
        <v>0</v>
      </c>
      <c r="G51" s="197">
        <v>400</v>
      </c>
      <c r="H51" s="172"/>
      <c r="I51" s="290">
        <v>0</v>
      </c>
      <c r="J51" s="172">
        <f>514-114</f>
        <v>400</v>
      </c>
      <c r="K51" s="172"/>
      <c r="L51" s="275">
        <v>0</v>
      </c>
      <c r="M51" s="201">
        <f>+J51*(1+L51)</f>
        <v>400</v>
      </c>
      <c r="N51" s="76"/>
      <c r="O51" s="200">
        <v>0</v>
      </c>
      <c r="P51" s="76">
        <f>+M51*(1+O51)</f>
        <v>400</v>
      </c>
      <c r="Q51" s="76"/>
      <c r="R51" s="200">
        <v>0</v>
      </c>
      <c r="S51" s="76">
        <f>+P51*(1+R51)</f>
        <v>400</v>
      </c>
      <c r="U51" s="200">
        <v>0</v>
      </c>
      <c r="V51" s="76">
        <f>+S51*(1+U51)</f>
        <v>400</v>
      </c>
      <c r="AA51" s="14">
        <v>400</v>
      </c>
    </row>
    <row r="52" spans="1:27" ht="12" customHeight="1">
      <c r="A52" s="14" t="s">
        <v>13</v>
      </c>
      <c r="E52" s="197">
        <v>693</v>
      </c>
      <c r="F52" s="214" t="s">
        <v>21</v>
      </c>
      <c r="G52" s="197">
        <v>878</v>
      </c>
      <c r="H52" s="172"/>
      <c r="I52" s="290">
        <v>0</v>
      </c>
      <c r="J52" s="172">
        <v>789</v>
      </c>
      <c r="K52" s="172"/>
      <c r="L52" s="275">
        <v>0</v>
      </c>
      <c r="M52" s="201">
        <v>750</v>
      </c>
      <c r="N52" s="76"/>
      <c r="O52" s="200">
        <v>0</v>
      </c>
      <c r="P52" s="76">
        <f>+M52*(1+O52)</f>
        <v>750</v>
      </c>
      <c r="Q52" s="76"/>
      <c r="R52" s="200">
        <v>0</v>
      </c>
      <c r="S52" s="76">
        <f>+P52*(1+R52)</f>
        <v>750</v>
      </c>
      <c r="U52" s="200">
        <v>0</v>
      </c>
      <c r="V52" s="76">
        <f>+S52*(1+U52)</f>
        <v>750</v>
      </c>
      <c r="AA52" s="14">
        <v>750</v>
      </c>
    </row>
    <row r="53" spans="5:22" ht="12" customHeight="1">
      <c r="E53" s="197"/>
      <c r="F53" s="214"/>
      <c r="G53" s="197" t="s">
        <v>16</v>
      </c>
      <c r="H53" s="172"/>
      <c r="I53" s="287"/>
      <c r="J53" s="172" t="s">
        <v>16</v>
      </c>
      <c r="K53" s="172"/>
      <c r="L53" s="275"/>
      <c r="M53" s="201" t="s">
        <v>16</v>
      </c>
      <c r="N53" s="76"/>
      <c r="O53" s="200"/>
      <c r="P53" s="76" t="s">
        <v>16</v>
      </c>
      <c r="Q53" s="76"/>
      <c r="R53" s="200"/>
      <c r="S53" s="76" t="s">
        <v>16</v>
      </c>
      <c r="U53" s="200"/>
      <c r="V53" s="76" t="s">
        <v>16</v>
      </c>
    </row>
    <row r="54" spans="2:27" ht="12" customHeight="1">
      <c r="B54" s="14" t="s">
        <v>18</v>
      </c>
      <c r="E54" s="197">
        <v>1000</v>
      </c>
      <c r="F54" s="214" t="s">
        <v>21</v>
      </c>
      <c r="G54" s="197">
        <v>864</v>
      </c>
      <c r="H54" s="172"/>
      <c r="I54" s="287">
        <v>0</v>
      </c>
      <c r="J54" s="172">
        <f>1330-134</f>
        <v>1196</v>
      </c>
      <c r="K54" s="172"/>
      <c r="L54" s="275">
        <v>0</v>
      </c>
      <c r="M54" s="201">
        <v>1200</v>
      </c>
      <c r="N54" s="76"/>
      <c r="O54" s="200">
        <v>0</v>
      </c>
      <c r="P54" s="76">
        <f>+M54*(1+O54)</f>
        <v>1200</v>
      </c>
      <c r="Q54" s="76"/>
      <c r="R54" s="200">
        <v>0</v>
      </c>
      <c r="S54" s="76">
        <f>+P54*(1+R54)</f>
        <v>1200</v>
      </c>
      <c r="U54" s="200">
        <v>0</v>
      </c>
      <c r="V54" s="76">
        <f>+S54*(1+U54)</f>
        <v>1200</v>
      </c>
      <c r="AA54" s="14">
        <v>0</v>
      </c>
    </row>
    <row r="55" spans="2:27" ht="12" customHeight="1">
      <c r="B55" s="14" t="s">
        <v>19</v>
      </c>
      <c r="E55" s="202">
        <f>1157+350</f>
        <v>1507</v>
      </c>
      <c r="F55" s="214" t="s">
        <v>21</v>
      </c>
      <c r="G55" s="202">
        <f>1255+243</f>
        <v>1498</v>
      </c>
      <c r="H55" s="141"/>
      <c r="I55" s="287" t="s">
        <v>16</v>
      </c>
      <c r="J55" s="203">
        <f>1098+200+120</f>
        <v>1418</v>
      </c>
      <c r="K55" s="141"/>
      <c r="L55" s="275">
        <v>0</v>
      </c>
      <c r="M55" s="204">
        <v>1000</v>
      </c>
      <c r="N55" s="80"/>
      <c r="O55" s="200">
        <v>0</v>
      </c>
      <c r="P55" s="104">
        <f>+M55*(1+O55)</f>
        <v>1000</v>
      </c>
      <c r="Q55" s="80"/>
      <c r="R55" s="200">
        <v>0</v>
      </c>
      <c r="S55" s="104">
        <f>+P55*(1+R55)</f>
        <v>1000</v>
      </c>
      <c r="U55" s="200">
        <v>0</v>
      </c>
      <c r="V55" s="104">
        <f>+S55*(1+U55)</f>
        <v>1000</v>
      </c>
      <c r="AA55" s="299">
        <v>0</v>
      </c>
    </row>
    <row r="56" spans="1:27" ht="12" customHeight="1">
      <c r="A56" s="14" t="s">
        <v>20</v>
      </c>
      <c r="E56" s="197">
        <f>+E54+E55</f>
        <v>2507</v>
      </c>
      <c r="F56" s="200"/>
      <c r="G56" s="197">
        <f>+G54+G55</f>
        <v>2362</v>
      </c>
      <c r="H56" s="172"/>
      <c r="I56" s="287"/>
      <c r="J56" s="172">
        <f>+J54+J55</f>
        <v>2614</v>
      </c>
      <c r="K56" s="172"/>
      <c r="L56" s="275"/>
      <c r="M56" s="201">
        <f>+M54+M55</f>
        <v>2200</v>
      </c>
      <c r="N56" s="172"/>
      <c r="O56" s="200"/>
      <c r="P56" s="76">
        <f>+M56*(1+O56)</f>
        <v>2200</v>
      </c>
      <c r="Q56" s="76"/>
      <c r="R56" s="200"/>
      <c r="S56" s="76">
        <f>+P56*(1+R56)</f>
        <v>2200</v>
      </c>
      <c r="U56" s="200"/>
      <c r="V56" s="76">
        <f>+S56*(1+U56)</f>
        <v>2200</v>
      </c>
      <c r="AA56" s="14">
        <v>2208</v>
      </c>
    </row>
    <row r="57" spans="1:22" ht="12" customHeight="1">
      <c r="A57" s="14" t="s">
        <v>16</v>
      </c>
      <c r="E57" s="197"/>
      <c r="F57" s="200"/>
      <c r="G57" s="197" t="s">
        <v>16</v>
      </c>
      <c r="H57" s="172"/>
      <c r="I57" s="287"/>
      <c r="J57" s="172" t="s">
        <v>16</v>
      </c>
      <c r="K57" s="172"/>
      <c r="L57" s="275"/>
      <c r="M57" s="201" t="s">
        <v>16</v>
      </c>
      <c r="N57" s="76"/>
      <c r="O57" s="200"/>
      <c r="P57" s="76" t="s">
        <v>16</v>
      </c>
      <c r="Q57" s="76"/>
      <c r="R57" s="200"/>
      <c r="S57" s="76" t="s">
        <v>16</v>
      </c>
      <c r="U57" s="200"/>
      <c r="V57" s="76" t="s">
        <v>16</v>
      </c>
    </row>
    <row r="58" spans="1:27" ht="12" customHeight="1">
      <c r="A58" s="14" t="s">
        <v>292</v>
      </c>
      <c r="E58" s="197">
        <v>2522</v>
      </c>
      <c r="F58" s="214" t="s">
        <v>22</v>
      </c>
      <c r="G58" s="197">
        <v>2551</v>
      </c>
      <c r="H58" s="172"/>
      <c r="I58" s="287" t="s">
        <v>22</v>
      </c>
      <c r="J58" s="172">
        <f>'Debt Schedule'!$H$48/1000-'Debt Schedule'!$H$156/1000+30</f>
        <v>4018.9179999999997</v>
      </c>
      <c r="K58" s="172"/>
      <c r="L58" s="275" t="s">
        <v>22</v>
      </c>
      <c r="M58" s="201">
        <v>3468</v>
      </c>
      <c r="N58" s="76"/>
      <c r="O58" s="214" t="s">
        <v>22</v>
      </c>
      <c r="P58" s="76">
        <f>'Debt Schedule'!$J$48/1000-'Debt Schedule'!$J$156/1000</f>
        <v>4068.8305</v>
      </c>
      <c r="Q58" s="76"/>
      <c r="R58" s="214" t="s">
        <v>22</v>
      </c>
      <c r="S58" s="76">
        <f>'Debt Schedule'!$K$48/1000-'Debt Schedule'!$K$156/1000</f>
        <v>4698.1055</v>
      </c>
      <c r="U58" s="214" t="s">
        <v>22</v>
      </c>
      <c r="V58" s="76">
        <f>'Debt Schedule'!$L$48/1000-'Debt Schedule'!$L$156/1000</f>
        <v>4989.2055</v>
      </c>
      <c r="AA58" s="213">
        <f>SUM('FY05 Detail'!S67)/1000</f>
        <v>4601.074</v>
      </c>
    </row>
    <row r="59" spans="1:22" ht="12" customHeight="1">
      <c r="A59" s="14" t="s">
        <v>324</v>
      </c>
      <c r="E59" s="197"/>
      <c r="F59" s="214"/>
      <c r="G59" s="197"/>
      <c r="H59" s="172"/>
      <c r="I59" s="287"/>
      <c r="J59" s="172"/>
      <c r="K59" s="172"/>
      <c r="L59" s="275"/>
      <c r="M59" s="201" t="s">
        <v>16</v>
      </c>
      <c r="N59" s="76"/>
      <c r="O59" s="214"/>
      <c r="P59" s="76"/>
      <c r="Q59" s="76"/>
      <c r="R59" s="214"/>
      <c r="S59" s="76" t="s">
        <v>16</v>
      </c>
      <c r="U59" s="214"/>
      <c r="V59" s="76"/>
    </row>
    <row r="60" spans="5:22" ht="12" customHeight="1">
      <c r="E60" s="197"/>
      <c r="F60" s="208"/>
      <c r="G60" s="197"/>
      <c r="H60" s="172"/>
      <c r="I60" s="288"/>
      <c r="J60" s="172">
        <v>0</v>
      </c>
      <c r="K60" s="172"/>
      <c r="L60" s="276"/>
      <c r="M60" s="201"/>
      <c r="N60" s="76"/>
      <c r="O60" s="208"/>
      <c r="P60" s="76"/>
      <c r="Q60" s="76"/>
      <c r="R60" s="208"/>
      <c r="S60" s="76"/>
      <c r="U60" s="208"/>
      <c r="V60" s="76"/>
    </row>
    <row r="61" spans="1:27" ht="12" customHeight="1">
      <c r="A61" s="14" t="s">
        <v>43</v>
      </c>
      <c r="E61" s="205">
        <f>SUM(E41:E53)+E56+E58</f>
        <v>60684</v>
      </c>
      <c r="F61" s="208"/>
      <c r="G61" s="205">
        <f>SUM(G41:G53)+G56+G58</f>
        <v>62010.429000000004</v>
      </c>
      <c r="H61" s="141"/>
      <c r="J61" s="206">
        <f>SUM(J41:J53)+J56+J58+J60</f>
        <v>65346.881</v>
      </c>
      <c r="K61" s="141"/>
      <c r="M61" s="216">
        <f>SUM(M41:M53)+M56+M58</f>
        <v>66601.55992</v>
      </c>
      <c r="N61" s="80"/>
      <c r="P61" s="93">
        <f>SUM(P41:P53)+P56+P58</f>
        <v>69783.093102</v>
      </c>
      <c r="Q61" s="80"/>
      <c r="S61" s="93">
        <f>SUM(S41:S53)+S56+S58</f>
        <v>73860.81674408</v>
      </c>
      <c r="V61" s="93">
        <f>SUM(V41:V53)+V56+V58</f>
        <v>77933.1988335026</v>
      </c>
      <c r="AA61" s="216">
        <f>SUM(AA41:AA53)+AA56+AA58</f>
        <v>36883.272000000004</v>
      </c>
    </row>
    <row r="62" spans="1:22" ht="12" customHeight="1">
      <c r="A62" s="14" t="s">
        <v>369</v>
      </c>
      <c r="E62" s="211"/>
      <c r="G62" s="197"/>
      <c r="H62" s="172"/>
      <c r="J62" s="172"/>
      <c r="K62" s="172"/>
      <c r="M62" s="172"/>
      <c r="N62" s="76"/>
      <c r="P62" s="76"/>
      <c r="Q62" s="76"/>
      <c r="S62" s="76"/>
      <c r="V62" s="76"/>
    </row>
    <row r="63" spans="1:22" ht="12" customHeight="1">
      <c r="A63" s="14" t="s">
        <v>127</v>
      </c>
      <c r="E63" s="217">
        <v>-640</v>
      </c>
      <c r="G63" s="197"/>
      <c r="H63" s="172"/>
      <c r="J63" s="172"/>
      <c r="K63" s="172"/>
      <c r="M63" s="172"/>
      <c r="N63" s="76"/>
      <c r="P63" s="76"/>
      <c r="Q63" s="76"/>
      <c r="S63" s="76"/>
      <c r="V63" s="76"/>
    </row>
    <row r="64" spans="1:22" ht="12" customHeight="1">
      <c r="A64" s="14" t="s">
        <v>39</v>
      </c>
      <c r="E64" s="218">
        <f>+E36-E61-E63</f>
        <v>600</v>
      </c>
      <c r="F64" s="219"/>
      <c r="G64" s="218">
        <f>+G36-G61</f>
        <v>-161.42900000000373</v>
      </c>
      <c r="H64" s="220"/>
      <c r="I64" s="291"/>
      <c r="J64" s="221">
        <f>+J36-J61</f>
        <v>-21.708000000005995</v>
      </c>
      <c r="K64" s="220"/>
      <c r="M64" s="221">
        <f>+M36-M61</f>
        <v>-703.0969200000109</v>
      </c>
      <c r="N64" s="222"/>
      <c r="P64" s="223">
        <f>+P36-P61</f>
        <v>-2149.173426999987</v>
      </c>
      <c r="Q64" s="222"/>
      <c r="S64" s="223">
        <f>+S36-S61</f>
        <v>-4358.6928274550155</v>
      </c>
      <c r="V64" s="223">
        <f>+V36-V61</f>
        <v>-6513.124471404473</v>
      </c>
    </row>
    <row r="65" spans="5:22" ht="12" customHeight="1">
      <c r="E65" s="211"/>
      <c r="G65" s="197"/>
      <c r="H65" s="172"/>
      <c r="I65" s="63" t="s">
        <v>16</v>
      </c>
      <c r="J65" s="172" t="s">
        <v>312</v>
      </c>
      <c r="K65" s="172"/>
      <c r="M65" s="172"/>
      <c r="N65" s="76"/>
      <c r="P65" s="76"/>
      <c r="Q65" s="76"/>
      <c r="S65" s="76"/>
      <c r="V65" s="76"/>
    </row>
    <row r="66" spans="1:22" ht="12" customHeight="1">
      <c r="A66" s="224" t="s">
        <v>42</v>
      </c>
      <c r="B66" s="224"/>
      <c r="C66" s="224"/>
      <c r="D66" s="224"/>
      <c r="E66" s="197">
        <f>-E64</f>
        <v>-600</v>
      </c>
      <c r="F66" s="224"/>
      <c r="G66" s="197">
        <f>-G64</f>
        <v>161.42900000000373</v>
      </c>
      <c r="H66" s="225"/>
      <c r="I66" s="75"/>
      <c r="J66" s="172">
        <f>-J64</f>
        <v>21.708000000005995</v>
      </c>
      <c r="K66" s="172"/>
      <c r="M66" s="172">
        <f>-M64</f>
        <v>703.0969200000109</v>
      </c>
      <c r="N66" s="225"/>
      <c r="O66" s="224"/>
      <c r="P66" s="225">
        <f>-P64</f>
        <v>2149.173426999987</v>
      </c>
      <c r="Q66" s="225"/>
      <c r="R66" s="224"/>
      <c r="S66" s="225">
        <f>-S64</f>
        <v>4358.6928274550155</v>
      </c>
      <c r="T66" s="224"/>
      <c r="U66" s="224"/>
      <c r="V66" s="225">
        <f>-V64</f>
        <v>6513.124471404473</v>
      </c>
    </row>
    <row r="67" spans="1:22" ht="12.75">
      <c r="A67" s="32"/>
      <c r="B67" s="32"/>
      <c r="C67" s="32"/>
      <c r="D67" s="32"/>
      <c r="E67" s="172"/>
      <c r="F67" s="32"/>
      <c r="G67" s="172"/>
      <c r="H67" s="172"/>
      <c r="I67" s="191"/>
      <c r="J67" s="172"/>
      <c r="K67" s="172"/>
      <c r="M67" s="172"/>
      <c r="N67" s="225"/>
      <c r="O67" s="224"/>
      <c r="P67" s="225"/>
      <c r="Q67" s="225"/>
      <c r="R67" s="224"/>
      <c r="S67" s="225"/>
      <c r="T67" s="224"/>
      <c r="U67" s="224"/>
      <c r="V67" s="225"/>
    </row>
    <row r="68" spans="7:11" ht="0.75" customHeight="1">
      <c r="G68" s="172"/>
      <c r="H68" s="172"/>
      <c r="J68" s="172"/>
      <c r="K68" s="172"/>
    </row>
    <row r="69" spans="1:11" ht="13.5" thickBot="1">
      <c r="A69" s="64" t="s">
        <v>370</v>
      </c>
      <c r="G69" s="172"/>
      <c r="H69" s="172"/>
      <c r="J69" s="172"/>
      <c r="K69" s="172"/>
    </row>
    <row r="70" spans="7:11" ht="12.75">
      <c r="G70" s="226" t="s">
        <v>51</v>
      </c>
      <c r="H70" s="226"/>
      <c r="J70" s="172"/>
      <c r="K70" s="172"/>
    </row>
    <row r="71" spans="1:11" ht="12.75">
      <c r="A71" s="14" t="s">
        <v>338</v>
      </c>
      <c r="G71" s="172"/>
      <c r="H71" s="172"/>
      <c r="J71" s="172"/>
      <c r="K71" s="172"/>
    </row>
    <row r="72" spans="7:11" ht="12.75">
      <c r="G72" s="172"/>
      <c r="H72" s="172"/>
      <c r="J72" s="172"/>
      <c r="K72" s="172"/>
    </row>
    <row r="73" ht="12.75">
      <c r="A73" s="14" t="s">
        <v>62</v>
      </c>
    </row>
    <row r="75" spans="1:22" ht="12.75">
      <c r="A75" s="14" t="s">
        <v>95</v>
      </c>
      <c r="E75" s="197">
        <f>'Debt Schedule'!F7/1000</f>
        <v>1090</v>
      </c>
      <c r="F75" s="76"/>
      <c r="G75" s="197">
        <f>'Debt Schedule'!G7/1000</f>
        <v>1090</v>
      </c>
      <c r="H75" s="172"/>
      <c r="I75" s="289"/>
      <c r="J75" s="172">
        <f>'Debt Schedule'!H7/1000</f>
        <v>1090</v>
      </c>
      <c r="K75" s="172"/>
      <c r="L75" s="277"/>
      <c r="M75" s="172">
        <f>'Debt Schedule'!I7/1000</f>
        <v>1090</v>
      </c>
      <c r="N75" s="76"/>
      <c r="O75" s="76"/>
      <c r="P75" s="76">
        <f>'Debt Schedule'!J7/1000</f>
        <v>1090</v>
      </c>
      <c r="R75" s="14" t="s">
        <v>16</v>
      </c>
      <c r="S75" s="76">
        <f>'Debt Schedule'!K7/1000</f>
        <v>1090</v>
      </c>
      <c r="T75" s="76"/>
      <c r="U75" s="76" t="s">
        <v>16</v>
      </c>
      <c r="V75" s="76">
        <f>'Debt Schedule'!L7/1000</f>
        <v>1090</v>
      </c>
    </row>
    <row r="76" spans="5:22" ht="12.75">
      <c r="E76" s="197">
        <f>'Debt Schedule'!F8/1000</f>
        <v>757.845</v>
      </c>
      <c r="F76" s="76"/>
      <c r="G76" s="197">
        <f>'Debt Schedule'!G8/1000</f>
        <v>711.52</v>
      </c>
      <c r="H76" s="172"/>
      <c r="I76" s="289"/>
      <c r="J76" s="172">
        <f>'Debt Schedule'!H8/1000</f>
        <v>663.833</v>
      </c>
      <c r="K76" s="172"/>
      <c r="L76" s="277"/>
      <c r="M76" s="172">
        <f>'Debt Schedule'!I8/1000</f>
        <v>615.873</v>
      </c>
      <c r="N76" s="76"/>
      <c r="O76" s="76"/>
      <c r="P76" s="76">
        <f>'Debt Schedule'!J8/1000</f>
        <v>555.923</v>
      </c>
      <c r="S76" s="76">
        <f>'Debt Schedule'!K8/1000</f>
        <v>498.698</v>
      </c>
      <c r="T76" s="76"/>
      <c r="U76" s="76"/>
      <c r="V76" s="76">
        <f>'Debt Schedule'!L8/1000</f>
        <v>438.748</v>
      </c>
    </row>
    <row r="77" spans="2:22" ht="12.75">
      <c r="B77" s="14" t="s">
        <v>63</v>
      </c>
      <c r="E77" s="197">
        <v>-1100</v>
      </c>
      <c r="F77" s="76"/>
      <c r="G77" s="197">
        <v>-1100</v>
      </c>
      <c r="H77" s="172"/>
      <c r="I77" s="289"/>
      <c r="J77" s="172">
        <v>-1089</v>
      </c>
      <c r="K77" s="172"/>
      <c r="L77" s="277"/>
      <c r="M77" s="172">
        <v>-1099</v>
      </c>
      <c r="N77" s="76"/>
      <c r="O77" s="76"/>
      <c r="P77" s="76">
        <v>-865</v>
      </c>
      <c r="Q77" s="227"/>
      <c r="R77" s="227"/>
      <c r="S77" s="76">
        <v>-865</v>
      </c>
      <c r="T77" s="76"/>
      <c r="U77" s="76"/>
      <c r="V77" s="76">
        <v>-865</v>
      </c>
    </row>
    <row r="78" spans="2:22" ht="12.75">
      <c r="B78" s="14" t="s">
        <v>271</v>
      </c>
      <c r="E78" s="197"/>
      <c r="F78" s="76"/>
      <c r="G78" s="197"/>
      <c r="H78" s="172"/>
      <c r="I78" s="289"/>
      <c r="J78" s="172">
        <f>'Debt Schedule'!H35/1000</f>
        <v>600</v>
      </c>
      <c r="K78" s="172"/>
      <c r="L78" s="277"/>
      <c r="M78" s="172">
        <f>'Debt Schedule'!I35/1000</f>
        <v>600</v>
      </c>
      <c r="N78" s="76"/>
      <c r="O78" s="76"/>
      <c r="P78" s="76">
        <f>'Debt Schedule'!J35/1000</f>
        <v>600</v>
      </c>
      <c r="Q78" s="227"/>
      <c r="R78" s="227"/>
      <c r="S78" s="76">
        <f>'Debt Schedule'!K35/1000</f>
        <v>600</v>
      </c>
      <c r="T78" s="76"/>
      <c r="U78" s="76"/>
      <c r="V78" s="76">
        <f>'Debt Schedule'!L35/1000</f>
        <v>600</v>
      </c>
    </row>
    <row r="79" spans="5:22" ht="12.75">
      <c r="E79" s="197"/>
      <c r="F79" s="76"/>
      <c r="G79" s="197"/>
      <c r="H79" s="172"/>
      <c r="I79" s="289"/>
      <c r="J79" s="172">
        <f>'Debt Schedule'!H36/1000</f>
        <v>681.915</v>
      </c>
      <c r="K79" s="172"/>
      <c r="L79" s="277"/>
      <c r="M79" s="172">
        <f>'Debt Schedule'!I36/1000</f>
        <v>431.61</v>
      </c>
      <c r="N79" s="76"/>
      <c r="O79" s="76"/>
      <c r="P79" s="76">
        <f>'Debt Schedule'!J36/1000</f>
        <v>413.61</v>
      </c>
      <c r="Q79" s="227"/>
      <c r="R79" s="227"/>
      <c r="S79" s="76">
        <f>'Debt Schedule'!K36/1000</f>
        <v>395.61</v>
      </c>
      <c r="T79" s="76"/>
      <c r="U79" s="76"/>
      <c r="V79" s="76">
        <f>'Debt Schedule'!L36/1000</f>
        <v>377.61</v>
      </c>
    </row>
    <row r="80" spans="2:22" ht="12.75">
      <c r="B80" s="14" t="s">
        <v>107</v>
      </c>
      <c r="E80" s="197">
        <f>'Debt Schedule'!F9</f>
        <v>0</v>
      </c>
      <c r="F80" s="76"/>
      <c r="G80" s="197">
        <v>25</v>
      </c>
      <c r="H80" s="172"/>
      <c r="I80" s="289"/>
      <c r="J80" s="172">
        <f>'Debt Schedule'!H9/1000</f>
        <v>220</v>
      </c>
      <c r="K80" s="172"/>
      <c r="L80" s="277"/>
      <c r="M80" s="172">
        <f>'Debt Schedule'!I9/1000</f>
        <v>220</v>
      </c>
      <c r="N80" s="76"/>
      <c r="O80" s="76"/>
      <c r="P80" s="76">
        <f>'Debt Schedule'!J9/1000</f>
        <v>220</v>
      </c>
      <c r="Q80" s="227"/>
      <c r="R80" s="227"/>
      <c r="S80" s="76">
        <f>'Debt Schedule'!K9/1000</f>
        <v>220</v>
      </c>
      <c r="T80" s="76"/>
      <c r="U80" s="76"/>
      <c r="V80" s="76">
        <f>'Debt Schedule'!L9/1000</f>
        <v>220</v>
      </c>
    </row>
    <row r="81" spans="2:22" ht="12.75">
      <c r="B81" s="14" t="s">
        <v>16</v>
      </c>
      <c r="E81" s="197">
        <f>'Debt Schedule'!F10</f>
        <v>0</v>
      </c>
      <c r="F81" s="76"/>
      <c r="G81" s="197">
        <v>0</v>
      </c>
      <c r="H81" s="172"/>
      <c r="I81" s="289"/>
      <c r="J81" s="172">
        <f>'Debt Schedule'!H10/1000</f>
        <v>106.825</v>
      </c>
      <c r="K81" s="172"/>
      <c r="L81" s="277"/>
      <c r="M81" s="172">
        <f>'Debt Schedule'!I10/1000</f>
        <v>62.7</v>
      </c>
      <c r="N81" s="76"/>
      <c r="O81" s="76"/>
      <c r="P81" s="76">
        <f>'Debt Schedule'!J10/1000</f>
        <v>56.1</v>
      </c>
      <c r="S81" s="76">
        <f>'Debt Schedule'!K10/1000</f>
        <v>49.5</v>
      </c>
      <c r="T81" s="76"/>
      <c r="U81" s="76"/>
      <c r="V81" s="76">
        <f>'Debt Schedule'!L10/1000</f>
        <v>42.9</v>
      </c>
    </row>
    <row r="82" spans="2:22" ht="12.75">
      <c r="B82" s="14" t="s">
        <v>308</v>
      </c>
      <c r="E82" s="197"/>
      <c r="F82" s="76"/>
      <c r="G82" s="197"/>
      <c r="H82" s="172"/>
      <c r="I82" s="289"/>
      <c r="J82" s="172">
        <v>0</v>
      </c>
      <c r="K82" s="172"/>
      <c r="L82" s="277"/>
      <c r="M82" s="172">
        <v>-8</v>
      </c>
      <c r="N82" s="76"/>
      <c r="O82" s="76"/>
      <c r="P82" s="76"/>
      <c r="S82" s="76"/>
      <c r="T82" s="76"/>
      <c r="U82" s="76"/>
      <c r="V82" s="76"/>
    </row>
    <row r="83" spans="2:22" ht="12.75">
      <c r="B83" s="14" t="s">
        <v>52</v>
      </c>
      <c r="E83" s="205">
        <f>SUM(E75:E81)</f>
        <v>747.845</v>
      </c>
      <c r="F83" s="76"/>
      <c r="G83" s="205">
        <f>SUM(G75:G81)</f>
        <v>726.52</v>
      </c>
      <c r="H83" s="141"/>
      <c r="I83" s="289"/>
      <c r="J83" s="206">
        <f>SUM(J75:J82)</f>
        <v>2273.573</v>
      </c>
      <c r="K83" s="141"/>
      <c r="L83" s="277"/>
      <c r="M83" s="206">
        <f>SUM(M75:M82)</f>
        <v>1913.1830000000002</v>
      </c>
      <c r="N83" s="80"/>
      <c r="O83" s="76"/>
      <c r="P83" s="93">
        <f>SUM(P75:P81)</f>
        <v>2070.633</v>
      </c>
      <c r="Q83" s="228"/>
      <c r="S83" s="93">
        <f>SUM(S75:S81)</f>
        <v>1988.808</v>
      </c>
      <c r="T83" s="76"/>
      <c r="U83" s="76"/>
      <c r="V83" s="93">
        <f>SUM(V75:V81)</f>
        <v>1904.2580000000003</v>
      </c>
    </row>
    <row r="84" spans="5:7" ht="12.75">
      <c r="E84" s="211"/>
      <c r="G84" s="211"/>
    </row>
    <row r="85" spans="1:23" ht="12.75">
      <c r="A85" s="14" t="s">
        <v>330</v>
      </c>
      <c r="E85" s="211">
        <v>534</v>
      </c>
      <c r="G85" s="211">
        <v>534</v>
      </c>
      <c r="J85" s="32">
        <v>534</v>
      </c>
      <c r="M85" s="32">
        <v>528</v>
      </c>
      <c r="P85" s="14">
        <v>528</v>
      </c>
      <c r="S85" s="14">
        <v>528</v>
      </c>
      <c r="V85" s="14">
        <v>528</v>
      </c>
      <c r="W85" s="229"/>
    </row>
    <row r="86" spans="3:22" ht="12.75">
      <c r="C86" s="14" t="s">
        <v>53</v>
      </c>
      <c r="E86" s="211">
        <v>550</v>
      </c>
      <c r="G86" s="211">
        <v>544</v>
      </c>
      <c r="J86" s="32">
        <f>544+100</f>
        <v>644</v>
      </c>
      <c r="M86" s="32">
        <v>650</v>
      </c>
      <c r="P86" s="14">
        <v>650</v>
      </c>
      <c r="S86" s="14">
        <v>650</v>
      </c>
      <c r="V86" s="14">
        <v>650</v>
      </c>
    </row>
    <row r="87" spans="3:22" ht="12.75">
      <c r="C87" s="14" t="s">
        <v>54</v>
      </c>
      <c r="E87" s="230">
        <f>+E85+E86</f>
        <v>1084</v>
      </c>
      <c r="G87" s="230">
        <f>+G85+G86</f>
        <v>1078</v>
      </c>
      <c r="H87" s="66"/>
      <c r="J87" s="231">
        <f>+J85+J86</f>
        <v>1178</v>
      </c>
      <c r="K87" s="66"/>
      <c r="M87" s="231">
        <f>+M85+M86</f>
        <v>1178</v>
      </c>
      <c r="N87" s="68"/>
      <c r="P87" s="232">
        <f>+P85+P86</f>
        <v>1178</v>
      </c>
      <c r="Q87" s="68"/>
      <c r="S87" s="232">
        <f>+S85+S86</f>
        <v>1178</v>
      </c>
      <c r="V87" s="232">
        <f>+V85+V86</f>
        <v>1178</v>
      </c>
    </row>
    <row r="88" ht="12.75">
      <c r="E88" s="211"/>
    </row>
    <row r="89" spans="1:22" ht="12.75">
      <c r="A89" s="14" t="s">
        <v>211</v>
      </c>
      <c r="E89" s="212">
        <v>510</v>
      </c>
      <c r="F89" s="68"/>
      <c r="G89" s="141">
        <v>451</v>
      </c>
      <c r="H89" s="141"/>
      <c r="I89" s="292"/>
      <c r="J89" s="141">
        <v>601</v>
      </c>
      <c r="K89" s="141"/>
      <c r="L89" s="278">
        <v>0.02</v>
      </c>
      <c r="M89" s="141">
        <f>+SUM(J89*L89)+J89</f>
        <v>613.02</v>
      </c>
      <c r="N89" s="80"/>
      <c r="O89" s="233">
        <v>0.02</v>
      </c>
      <c r="P89" s="234">
        <f>+SUM(M89*O89)+M89</f>
        <v>625.2804</v>
      </c>
      <c r="Q89" s="80"/>
      <c r="R89" s="233">
        <v>0.02</v>
      </c>
      <c r="S89" s="234">
        <f>+SUM(P89*R89)+P89</f>
        <v>637.786008</v>
      </c>
      <c r="U89" s="233">
        <v>0.02</v>
      </c>
      <c r="V89" s="234">
        <f>+SUM(S89*U89)+S89</f>
        <v>650.54172816</v>
      </c>
    </row>
    <row r="90" spans="1:22" ht="12.75">
      <c r="A90" s="14" t="s">
        <v>341</v>
      </c>
      <c r="E90" s="80"/>
      <c r="F90" s="68"/>
      <c r="G90" s="141"/>
      <c r="H90" s="141"/>
      <c r="I90" s="292"/>
      <c r="J90" s="141"/>
      <c r="K90" s="141"/>
      <c r="L90" s="123"/>
      <c r="M90" s="141"/>
      <c r="N90" s="80"/>
      <c r="O90" s="68"/>
      <c r="P90" s="80"/>
      <c r="Q90" s="80"/>
      <c r="R90" s="68"/>
      <c r="S90" s="80"/>
      <c r="U90" s="68"/>
      <c r="V90" s="80"/>
    </row>
    <row r="91" spans="1:22" ht="12.75">
      <c r="A91" s="14" t="s">
        <v>340</v>
      </c>
      <c r="E91" s="80"/>
      <c r="F91" s="68"/>
      <c r="G91" s="141"/>
      <c r="H91" s="141"/>
      <c r="I91" s="292"/>
      <c r="J91" s="141"/>
      <c r="K91" s="141"/>
      <c r="L91" s="123"/>
      <c r="M91" s="141"/>
      <c r="N91" s="80"/>
      <c r="O91" s="68"/>
      <c r="P91" s="80"/>
      <c r="Q91" s="80"/>
      <c r="R91" s="68"/>
      <c r="S91" s="80"/>
      <c r="U91" s="68"/>
      <c r="V91" s="80"/>
    </row>
    <row r="93" spans="1:22" ht="12.75">
      <c r="A93" s="14" t="s">
        <v>68</v>
      </c>
      <c r="B93" s="14" t="s">
        <v>336</v>
      </c>
      <c r="E93" s="211">
        <v>3495</v>
      </c>
      <c r="F93" s="208" t="s">
        <v>16</v>
      </c>
      <c r="G93" s="235">
        <v>3531</v>
      </c>
      <c r="H93" s="236"/>
      <c r="I93" s="293">
        <v>-0.2137</v>
      </c>
      <c r="J93" s="236">
        <v>2825</v>
      </c>
      <c r="K93" s="236"/>
      <c r="L93" s="279">
        <v>-0.075</v>
      </c>
      <c r="M93" s="236">
        <f>SUM(J93*L93)+J93</f>
        <v>2613.125</v>
      </c>
      <c r="N93" s="213"/>
      <c r="O93" s="208">
        <v>0.05</v>
      </c>
      <c r="P93" s="238">
        <f>SUM(M93*O93)+M93</f>
        <v>2743.78125</v>
      </c>
      <c r="Q93" s="213"/>
      <c r="R93" s="229">
        <v>0.05</v>
      </c>
      <c r="S93" s="238">
        <f>SUM(P93*R93)+P93</f>
        <v>2880.9703125</v>
      </c>
      <c r="U93" s="229">
        <v>0.05</v>
      </c>
      <c r="V93" s="238">
        <f>SUM(S93*U93)+S93</f>
        <v>3025.0188281250003</v>
      </c>
    </row>
    <row r="94" spans="2:22" ht="12.75">
      <c r="B94" s="14" t="s">
        <v>337</v>
      </c>
      <c r="E94" s="211">
        <v>1100</v>
      </c>
      <c r="G94" s="211">
        <v>1100</v>
      </c>
      <c r="J94" s="32">
        <f>1100-11</f>
        <v>1089</v>
      </c>
      <c r="M94" s="32">
        <v>865</v>
      </c>
      <c r="P94" s="14">
        <v>865</v>
      </c>
      <c r="S94" s="14">
        <v>865</v>
      </c>
      <c r="V94" s="14">
        <v>865</v>
      </c>
    </row>
    <row r="95" spans="2:22" ht="12.75">
      <c r="B95" s="14" t="s">
        <v>71</v>
      </c>
      <c r="E95" s="211">
        <v>1812</v>
      </c>
      <c r="F95" s="208" t="s">
        <v>16</v>
      </c>
      <c r="G95" s="211">
        <v>1789</v>
      </c>
      <c r="I95" s="293">
        <v>-0.056138</v>
      </c>
      <c r="J95" s="236">
        <v>1521</v>
      </c>
      <c r="K95" s="236"/>
      <c r="L95" s="276">
        <v>-0.05</v>
      </c>
      <c r="M95" s="236">
        <f>SUM(J95*L95)+J95</f>
        <v>1444.95</v>
      </c>
      <c r="N95" s="213"/>
      <c r="O95" s="208" t="s">
        <v>16</v>
      </c>
      <c r="P95" s="213">
        <f>+M95</f>
        <v>1444.95</v>
      </c>
      <c r="Q95" s="213"/>
      <c r="R95" s="208" t="s">
        <v>16</v>
      </c>
      <c r="S95" s="213">
        <f>+P95</f>
        <v>1444.95</v>
      </c>
      <c r="U95" s="208" t="s">
        <v>16</v>
      </c>
      <c r="V95" s="213">
        <f>+S95</f>
        <v>1444.95</v>
      </c>
    </row>
    <row r="96" spans="2:22" ht="12.75" hidden="1">
      <c r="B96" s="14" t="s">
        <v>293</v>
      </c>
      <c r="E96" s="211"/>
      <c r="F96" s="208"/>
      <c r="G96" s="211">
        <v>-168</v>
      </c>
      <c r="J96" s="236"/>
      <c r="K96" s="236"/>
      <c r="M96" s="236"/>
      <c r="N96" s="213"/>
      <c r="O96" s="208"/>
      <c r="P96" s="213"/>
      <c r="Q96" s="213"/>
      <c r="R96" s="208"/>
      <c r="S96" s="213"/>
      <c r="U96" s="208"/>
      <c r="V96" s="213"/>
    </row>
    <row r="97" spans="2:22" ht="12.75">
      <c r="B97" s="14" t="s">
        <v>294</v>
      </c>
      <c r="E97" s="211">
        <v>1041</v>
      </c>
      <c r="F97" s="208" t="s">
        <v>16</v>
      </c>
      <c r="G97" s="235">
        <v>974</v>
      </c>
      <c r="H97" s="236"/>
      <c r="I97" s="293">
        <v>-0.1337353</v>
      </c>
      <c r="J97" s="236">
        <v>827</v>
      </c>
      <c r="K97" s="236"/>
      <c r="L97" s="280">
        <v>-0.05</v>
      </c>
      <c r="M97" s="236">
        <f>SUM(J97*L97)+J97</f>
        <v>785.65</v>
      </c>
      <c r="N97" s="213"/>
      <c r="O97" s="213"/>
      <c r="P97" s="213">
        <f>+M97</f>
        <v>785.65</v>
      </c>
      <c r="Q97" s="213"/>
      <c r="R97" s="213"/>
      <c r="S97" s="213">
        <f>+P97</f>
        <v>785.65</v>
      </c>
      <c r="U97" s="213"/>
      <c r="V97" s="213">
        <f>+S97</f>
        <v>785.65</v>
      </c>
    </row>
    <row r="98" spans="2:22" ht="12.75" hidden="1">
      <c r="B98" s="14" t="s">
        <v>293</v>
      </c>
      <c r="E98" s="211"/>
      <c r="F98" s="208"/>
      <c r="G98" s="235">
        <v>-91</v>
      </c>
      <c r="H98" s="236"/>
      <c r="I98" s="293"/>
      <c r="J98" s="236"/>
      <c r="K98" s="236"/>
      <c r="L98" s="280"/>
      <c r="M98" s="236"/>
      <c r="N98" s="213"/>
      <c r="O98" s="213"/>
      <c r="P98" s="213"/>
      <c r="Q98" s="213"/>
      <c r="R98" s="213"/>
      <c r="S98" s="213"/>
      <c r="U98" s="213"/>
      <c r="V98" s="213"/>
    </row>
    <row r="99" spans="2:22" ht="12.75">
      <c r="B99" s="14" t="s">
        <v>72</v>
      </c>
      <c r="E99" s="211">
        <f>68+207+68+26+24</f>
        <v>393</v>
      </c>
      <c r="G99" s="211">
        <v>328</v>
      </c>
      <c r="I99" s="293">
        <v>-0.145</v>
      </c>
      <c r="J99" s="236">
        <v>266</v>
      </c>
      <c r="M99" s="236">
        <f>+J99</f>
        <v>266</v>
      </c>
      <c r="N99" s="213"/>
      <c r="O99" s="213"/>
      <c r="P99" s="213">
        <f>+M99</f>
        <v>266</v>
      </c>
      <c r="S99" s="14">
        <f>+P99</f>
        <v>266</v>
      </c>
      <c r="V99" s="14">
        <f>+S99</f>
        <v>266</v>
      </c>
    </row>
    <row r="100" spans="2:22" ht="12.75">
      <c r="B100" s="14" t="s">
        <v>57</v>
      </c>
      <c r="E100" s="230">
        <f>SUM(E93:E99)</f>
        <v>7841</v>
      </c>
      <c r="G100" s="239">
        <f>SUM(G93:G99)</f>
        <v>7463</v>
      </c>
      <c r="H100" s="240"/>
      <c r="I100" s="290"/>
      <c r="J100" s="241">
        <f>SUM(J93:J99)</f>
        <v>6528</v>
      </c>
      <c r="K100" s="240"/>
      <c r="L100" s="281"/>
      <c r="M100" s="241">
        <f>SUM(M93:M99)</f>
        <v>5974.724999999999</v>
      </c>
      <c r="N100" s="242"/>
      <c r="O100" s="213"/>
      <c r="P100" s="243">
        <f>SUM(P93:P99)</f>
        <v>6105.381249999999</v>
      </c>
      <c r="Q100" s="242"/>
      <c r="R100" s="213"/>
      <c r="S100" s="243">
        <f>SUM(S93:S99)</f>
        <v>6242.5703125</v>
      </c>
      <c r="U100" s="213"/>
      <c r="V100" s="243">
        <f>SUM(V93:V99)</f>
        <v>6386.618828125</v>
      </c>
    </row>
    <row r="101" spans="5:7" ht="12.75">
      <c r="E101" s="211"/>
      <c r="G101" s="211"/>
    </row>
    <row r="102" spans="1:7" ht="12.75">
      <c r="A102" s="14" t="s">
        <v>73</v>
      </c>
      <c r="D102" s="14" t="s">
        <v>16</v>
      </c>
      <c r="E102" s="211" t="s">
        <v>16</v>
      </c>
      <c r="F102" s="14" t="s">
        <v>16</v>
      </c>
      <c r="G102" s="211" t="s">
        <v>16</v>
      </c>
    </row>
    <row r="103" spans="2:13" ht="12.75">
      <c r="B103" s="14" t="s">
        <v>74</v>
      </c>
      <c r="E103" s="211">
        <v>400</v>
      </c>
      <c r="G103" s="211">
        <v>0</v>
      </c>
      <c r="J103" s="32">
        <v>33</v>
      </c>
      <c r="M103" s="32">
        <v>30</v>
      </c>
    </row>
    <row r="104" spans="2:10" ht="12.75">
      <c r="B104" s="14" t="s">
        <v>207</v>
      </c>
      <c r="E104" s="211"/>
      <c r="G104" s="211">
        <v>100</v>
      </c>
      <c r="J104" s="32">
        <v>50</v>
      </c>
    </row>
    <row r="105" spans="2:22" ht="12.75">
      <c r="B105" s="14" t="s">
        <v>296</v>
      </c>
      <c r="E105" s="211"/>
      <c r="G105" s="211">
        <v>100</v>
      </c>
      <c r="J105" s="32">
        <v>100</v>
      </c>
      <c r="M105" s="32">
        <v>100</v>
      </c>
      <c r="P105" s="14">
        <v>100</v>
      </c>
      <c r="S105" s="14">
        <v>100</v>
      </c>
      <c r="V105" s="14">
        <v>100</v>
      </c>
    </row>
    <row r="106" spans="2:22" ht="12.75">
      <c r="B106" s="14" t="s">
        <v>318</v>
      </c>
      <c r="E106" s="211"/>
      <c r="G106" s="211"/>
      <c r="M106" s="32">
        <v>100</v>
      </c>
      <c r="P106" s="14">
        <v>100</v>
      </c>
      <c r="S106" s="14">
        <v>100</v>
      </c>
      <c r="V106" s="14">
        <v>100</v>
      </c>
    </row>
    <row r="107" spans="2:26" ht="12.75">
      <c r="B107" s="14" t="s">
        <v>75</v>
      </c>
      <c r="E107" s="211">
        <f>667+1170</f>
        <v>1837</v>
      </c>
      <c r="G107" s="211">
        <v>56</v>
      </c>
      <c r="J107" s="32">
        <v>183</v>
      </c>
      <c r="M107" s="32">
        <v>410</v>
      </c>
      <c r="P107" s="14">
        <v>100</v>
      </c>
      <c r="S107" s="14">
        <v>100</v>
      </c>
      <c r="V107" s="14">
        <v>100</v>
      </c>
      <c r="Z107" s="14" t="s">
        <v>378</v>
      </c>
    </row>
    <row r="108" spans="2:22" ht="12.75">
      <c r="B108" s="14" t="s">
        <v>76</v>
      </c>
      <c r="E108" s="211">
        <v>60</v>
      </c>
      <c r="G108" s="211">
        <v>50</v>
      </c>
      <c r="J108" s="32">
        <v>30</v>
      </c>
      <c r="M108" s="32">
        <v>30</v>
      </c>
      <c r="P108" s="14">
        <v>40</v>
      </c>
      <c r="S108" s="14">
        <v>40</v>
      </c>
      <c r="V108" s="14">
        <v>40</v>
      </c>
    </row>
    <row r="109" spans="2:22" ht="12.75">
      <c r="B109" s="14" t="s">
        <v>274</v>
      </c>
      <c r="E109" s="211">
        <v>25</v>
      </c>
      <c r="G109" s="211">
        <v>25</v>
      </c>
      <c r="J109" s="32">
        <v>25</v>
      </c>
      <c r="M109" s="32">
        <v>25</v>
      </c>
      <c r="P109" s="14">
        <v>25</v>
      </c>
      <c r="S109" s="14">
        <v>25</v>
      </c>
      <c r="V109" s="14">
        <v>25</v>
      </c>
    </row>
    <row r="110" spans="2:13" ht="12.75">
      <c r="B110" s="14" t="s">
        <v>305</v>
      </c>
      <c r="E110" s="211"/>
      <c r="G110" s="211">
        <v>243</v>
      </c>
      <c r="J110" s="32">
        <f>10+75+200+120</f>
        <v>405</v>
      </c>
      <c r="M110" s="32">
        <v>8</v>
      </c>
    </row>
    <row r="111" spans="2:26" ht="12.75">
      <c r="B111" s="14" t="s">
        <v>77</v>
      </c>
      <c r="E111" s="211">
        <v>430</v>
      </c>
      <c r="G111" s="211">
        <v>450</v>
      </c>
      <c r="J111" s="32">
        <v>525</v>
      </c>
      <c r="M111" s="32">
        <v>380</v>
      </c>
      <c r="P111" s="14">
        <f>M111</f>
        <v>380</v>
      </c>
      <c r="S111" s="14">
        <f>P111</f>
        <v>380</v>
      </c>
      <c r="V111" s="14">
        <f>S111</f>
        <v>380</v>
      </c>
      <c r="Z111" s="14" t="s">
        <v>371</v>
      </c>
    </row>
    <row r="112" spans="1:22" ht="12.75">
      <c r="A112" s="14" t="s">
        <v>96</v>
      </c>
      <c r="E112" s="230">
        <f>SUM(E103:E111)</f>
        <v>2752</v>
      </c>
      <c r="G112" s="230">
        <f>SUM(G103:G111)</f>
        <v>1024</v>
      </c>
      <c r="H112" s="66"/>
      <c r="J112" s="231">
        <f>SUM(J103:J111)</f>
        <v>1351</v>
      </c>
      <c r="K112" s="66"/>
      <c r="M112" s="231">
        <f>SUM(M103:M111)</f>
        <v>1083</v>
      </c>
      <c r="N112" s="68"/>
      <c r="P112" s="232">
        <f>SUM(P103:P111)</f>
        <v>745</v>
      </c>
      <c r="Q112" s="68"/>
      <c r="S112" s="232">
        <f>SUM(S103:S111)</f>
        <v>745</v>
      </c>
      <c r="V112" s="232">
        <f>SUM(V103:V111)</f>
        <v>745</v>
      </c>
    </row>
    <row r="113" spans="5:22" ht="12.75">
      <c r="E113" s="68"/>
      <c r="G113" s="66"/>
      <c r="H113" s="66"/>
      <c r="J113" s="66"/>
      <c r="K113" s="66"/>
      <c r="M113" s="66"/>
      <c r="N113" s="68"/>
      <c r="P113" s="68"/>
      <c r="Q113" s="68"/>
      <c r="S113" s="68"/>
      <c r="V113" s="68"/>
    </row>
    <row r="114" spans="1:22" ht="12.75">
      <c r="A114" s="14" t="s">
        <v>321</v>
      </c>
      <c r="E114" s="68"/>
      <c r="G114" s="66"/>
      <c r="H114" s="66"/>
      <c r="J114" s="66"/>
      <c r="K114" s="66"/>
      <c r="M114" s="66"/>
      <c r="N114" s="68"/>
      <c r="P114" s="68"/>
      <c r="Q114" s="68"/>
      <c r="S114" s="68"/>
      <c r="V114" s="68"/>
    </row>
    <row r="115" spans="1:22" ht="12.75">
      <c r="A115" s="14" t="s">
        <v>335</v>
      </c>
      <c r="E115" s="68"/>
      <c r="G115" s="66"/>
      <c r="H115" s="66"/>
      <c r="J115" s="66"/>
      <c r="K115" s="66"/>
      <c r="M115" s="66"/>
      <c r="N115" s="68"/>
      <c r="P115" s="68"/>
      <c r="Q115" s="68"/>
      <c r="S115" s="68"/>
      <c r="V115" s="68"/>
    </row>
    <row r="116" spans="1:22" ht="12.75">
      <c r="A116" s="14" t="s">
        <v>339</v>
      </c>
      <c r="E116" s="68"/>
      <c r="G116" s="66"/>
      <c r="H116" s="66"/>
      <c r="J116" s="66"/>
      <c r="K116" s="66"/>
      <c r="M116" s="66"/>
      <c r="N116" s="68"/>
      <c r="P116" s="68"/>
      <c r="Q116" s="68"/>
      <c r="S116" s="68"/>
      <c r="V116" s="68"/>
    </row>
    <row r="117" spans="5:22" ht="12.75">
      <c r="E117" s="68"/>
      <c r="G117" s="66"/>
      <c r="H117" s="66"/>
      <c r="J117" s="66"/>
      <c r="K117" s="66"/>
      <c r="M117" s="66"/>
      <c r="N117" s="68"/>
      <c r="P117" s="68"/>
      <c r="Q117" s="68"/>
      <c r="S117" s="68"/>
      <c r="V117" s="68"/>
    </row>
    <row r="118" ht="12.75">
      <c r="A118" s="14" t="s">
        <v>320</v>
      </c>
    </row>
    <row r="119" spans="2:10" ht="12.75">
      <c r="B119" s="14" t="s">
        <v>45</v>
      </c>
      <c r="E119" s="211">
        <v>507</v>
      </c>
      <c r="G119" s="211">
        <v>587</v>
      </c>
      <c r="J119" s="32">
        <v>519</v>
      </c>
    </row>
    <row r="120" spans="2:10" ht="12.75">
      <c r="B120" s="14" t="s">
        <v>46</v>
      </c>
      <c r="E120" s="211">
        <v>385</v>
      </c>
      <c r="G120" s="211">
        <v>388</v>
      </c>
      <c r="J120" s="32">
        <v>364</v>
      </c>
    </row>
    <row r="121" spans="2:10" ht="12.75">
      <c r="B121" s="14" t="s">
        <v>84</v>
      </c>
      <c r="E121" s="211">
        <v>451</v>
      </c>
      <c r="G121" s="211">
        <v>465</v>
      </c>
      <c r="J121" s="32">
        <v>483</v>
      </c>
    </row>
    <row r="122" spans="2:10" ht="12.75">
      <c r="B122" s="14" t="s">
        <v>85</v>
      </c>
      <c r="E122" s="211">
        <v>327</v>
      </c>
      <c r="G122" s="211">
        <v>319</v>
      </c>
      <c r="J122" s="32">
        <v>327</v>
      </c>
    </row>
    <row r="123" spans="2:10" ht="12.75">
      <c r="B123" s="14" t="s">
        <v>86</v>
      </c>
      <c r="E123" s="211">
        <v>317</v>
      </c>
      <c r="G123" s="211">
        <v>286</v>
      </c>
      <c r="J123" s="32">
        <v>287</v>
      </c>
    </row>
    <row r="124" spans="2:10" ht="12.75">
      <c r="B124" s="14" t="s">
        <v>87</v>
      </c>
      <c r="E124" s="211">
        <v>260</v>
      </c>
      <c r="G124" s="211">
        <v>259</v>
      </c>
      <c r="J124" s="32">
        <v>297</v>
      </c>
    </row>
    <row r="125" spans="2:10" ht="12.75">
      <c r="B125" s="14" t="s">
        <v>88</v>
      </c>
      <c r="E125" s="211">
        <v>200</v>
      </c>
      <c r="G125" s="211">
        <v>204</v>
      </c>
      <c r="J125" s="32">
        <v>209</v>
      </c>
    </row>
    <row r="126" spans="2:10" ht="12.75">
      <c r="B126" s="14" t="s">
        <v>34</v>
      </c>
      <c r="E126" s="211">
        <f>+E127-SUM(E119:E125)</f>
        <v>982</v>
      </c>
      <c r="G126" s="211">
        <v>633</v>
      </c>
      <c r="J126" s="32">
        <v>946</v>
      </c>
    </row>
    <row r="127" spans="1:22" ht="12.75">
      <c r="A127" s="14" t="s">
        <v>97</v>
      </c>
      <c r="E127" s="230">
        <v>3429</v>
      </c>
      <c r="F127" s="200">
        <f>+(G127-E127)/E127</f>
        <v>-0.08398950131233596</v>
      </c>
      <c r="G127" s="239">
        <f>SUM(G119:G126)</f>
        <v>3141</v>
      </c>
      <c r="H127" s="240"/>
      <c r="I127" s="287" t="s">
        <v>16</v>
      </c>
      <c r="J127" s="241">
        <f>SUM(J119:J126)</f>
        <v>3432</v>
      </c>
      <c r="K127" s="240"/>
      <c r="L127" s="275">
        <v>0.05</v>
      </c>
      <c r="M127" s="241">
        <f>+J127+(J127*L127)</f>
        <v>3603.6</v>
      </c>
      <c r="N127" s="242"/>
      <c r="O127" s="200">
        <v>0.048</v>
      </c>
      <c r="P127" s="243">
        <f>+M127+(M127*O127)</f>
        <v>3776.5728</v>
      </c>
      <c r="Q127" s="242"/>
      <c r="R127" s="200">
        <v>0.048</v>
      </c>
      <c r="S127" s="243">
        <f>+P127+(P127*R127)</f>
        <v>3957.8482943999998</v>
      </c>
      <c r="U127" s="200">
        <v>0.048</v>
      </c>
      <c r="V127" s="243">
        <f>+S127+(S127*U127)</f>
        <v>4147.8250125312</v>
      </c>
    </row>
    <row r="128" spans="5:22" ht="12.75">
      <c r="E128" s="244"/>
      <c r="F128" s="200"/>
      <c r="G128" s="245"/>
      <c r="H128" s="240"/>
      <c r="I128" s="287"/>
      <c r="J128" s="240"/>
      <c r="K128" s="240"/>
      <c r="L128" s="275"/>
      <c r="M128" s="240"/>
      <c r="N128" s="242"/>
      <c r="O128" s="200"/>
      <c r="P128" s="242"/>
      <c r="Q128" s="242"/>
      <c r="R128" s="200"/>
      <c r="S128" s="242"/>
      <c r="U128" s="200"/>
      <c r="V128" s="242"/>
    </row>
    <row r="129" spans="1:22" ht="12.75">
      <c r="A129" s="14" t="s">
        <v>344</v>
      </c>
      <c r="E129" s="244"/>
      <c r="F129" s="200"/>
      <c r="G129" s="245"/>
      <c r="H129" s="240"/>
      <c r="I129" s="287"/>
      <c r="J129" s="240"/>
      <c r="K129" s="240"/>
      <c r="L129" s="275"/>
      <c r="M129" s="240"/>
      <c r="N129" s="242"/>
      <c r="O129" s="200"/>
      <c r="P129" s="242"/>
      <c r="Q129" s="242"/>
      <c r="R129" s="200"/>
      <c r="S129" s="242"/>
      <c r="U129" s="200"/>
      <c r="V129" s="242"/>
    </row>
    <row r="130" spans="1:22" ht="12.75">
      <c r="A130" s="14" t="s">
        <v>346</v>
      </c>
      <c r="E130" s="244"/>
      <c r="F130" s="200"/>
      <c r="G130" s="245"/>
      <c r="H130" s="240"/>
      <c r="I130" s="287"/>
      <c r="J130" s="240"/>
      <c r="K130" s="240"/>
      <c r="L130" s="275"/>
      <c r="M130" s="240"/>
      <c r="N130" s="242"/>
      <c r="O130" s="200"/>
      <c r="P130" s="242"/>
      <c r="Q130" s="242"/>
      <c r="R130" s="200"/>
      <c r="S130" s="242"/>
      <c r="U130" s="200"/>
      <c r="V130" s="242"/>
    </row>
    <row r="131" spans="1:22" ht="12.75">
      <c r="A131" s="14" t="s">
        <v>345</v>
      </c>
      <c r="E131" s="244"/>
      <c r="F131" s="200"/>
      <c r="G131" s="245"/>
      <c r="H131" s="240"/>
      <c r="I131" s="287"/>
      <c r="J131" s="240"/>
      <c r="K131" s="240"/>
      <c r="L131" s="275"/>
      <c r="M131" s="240"/>
      <c r="N131" s="242"/>
      <c r="O131" s="200"/>
      <c r="P131" s="242"/>
      <c r="Q131" s="242"/>
      <c r="R131" s="200"/>
      <c r="S131" s="242"/>
      <c r="U131" s="200"/>
      <c r="V131" s="242"/>
    </row>
    <row r="132" spans="5:22" ht="12.75">
      <c r="E132" s="244"/>
      <c r="F132" s="200"/>
      <c r="G132" s="245"/>
      <c r="H132" s="240"/>
      <c r="I132" s="287"/>
      <c r="J132" s="240"/>
      <c r="K132" s="240"/>
      <c r="L132" s="275"/>
      <c r="M132" s="240"/>
      <c r="N132" s="242"/>
      <c r="O132" s="200"/>
      <c r="P132" s="242"/>
      <c r="Q132" s="242"/>
      <c r="R132" s="200"/>
      <c r="S132" s="242"/>
      <c r="U132" s="200"/>
      <c r="V132" s="242"/>
    </row>
    <row r="133" spans="1:7" ht="12.75">
      <c r="A133" s="14" t="s">
        <v>82</v>
      </c>
      <c r="C133" s="14" t="s">
        <v>48</v>
      </c>
      <c r="E133" s="211">
        <v>1393</v>
      </c>
      <c r="F133" s="14" t="s">
        <v>40</v>
      </c>
      <c r="G133" s="211">
        <v>1393</v>
      </c>
    </row>
    <row r="134" spans="3:7" ht="12.75">
      <c r="C134" s="14" t="s">
        <v>34</v>
      </c>
      <c r="E134" s="211">
        <v>30</v>
      </c>
      <c r="G134" s="211">
        <v>65</v>
      </c>
    </row>
    <row r="135" spans="2:27" ht="12.75">
      <c r="B135" s="14" t="s">
        <v>58</v>
      </c>
      <c r="E135" s="230">
        <f>+SUM(E133:E134)</f>
        <v>1423</v>
      </c>
      <c r="F135" s="200">
        <v>0.025</v>
      </c>
      <c r="G135" s="239">
        <f>SUM(G133+G134)</f>
        <v>1458</v>
      </c>
      <c r="H135" s="240"/>
      <c r="I135" s="287">
        <f>+(J135-G135)/G135</f>
        <v>-0.0013717421124828531</v>
      </c>
      <c r="J135" s="241">
        <v>1456</v>
      </c>
      <c r="K135" s="240"/>
      <c r="L135" s="275">
        <v>0.025</v>
      </c>
      <c r="M135" s="241">
        <f>+J135+(J135*L135)</f>
        <v>1492.4</v>
      </c>
      <c r="N135" s="242"/>
      <c r="O135" s="200">
        <v>0.025</v>
      </c>
      <c r="P135" s="243">
        <f>+M135+(M135*O135)</f>
        <v>1529.71</v>
      </c>
      <c r="Q135" s="242"/>
      <c r="R135" s="200">
        <v>0.025</v>
      </c>
      <c r="S135" s="243">
        <f>+P135+(P135*R135)</f>
        <v>1567.95275</v>
      </c>
      <c r="U135" s="200">
        <v>0.025</v>
      </c>
      <c r="V135" s="243">
        <f>+S135+(S135*U135)</f>
        <v>1607.15156875</v>
      </c>
      <c r="AA135" s="14">
        <v>1446</v>
      </c>
    </row>
    <row r="136" spans="1:7" ht="12.75">
      <c r="A136" s="14" t="s">
        <v>83</v>
      </c>
      <c r="E136" s="211"/>
      <c r="G136" s="211"/>
    </row>
    <row r="137" spans="2:27" ht="12.75">
      <c r="B137" s="14" t="s">
        <v>45</v>
      </c>
      <c r="E137" s="211">
        <v>503</v>
      </c>
      <c r="G137" s="235">
        <f>'FY03 Detail'!$D$65/1000</f>
        <v>538.733</v>
      </c>
      <c r="H137" s="236"/>
      <c r="J137" s="236">
        <f>'FY04 Detail'!$D$68/1000</f>
        <v>557.134</v>
      </c>
      <c r="L137" s="276">
        <v>0.1</v>
      </c>
      <c r="M137" s="236">
        <f>SUM(J137*L137)+J137</f>
        <v>612.8474</v>
      </c>
      <c r="AA137" s="213">
        <f>SUM('FY05 Detail'!D67)/1000</f>
        <v>516.069</v>
      </c>
    </row>
    <row r="138" spans="2:27" ht="12.75">
      <c r="B138" s="14" t="s">
        <v>108</v>
      </c>
      <c r="E138" s="211">
        <v>1951</v>
      </c>
      <c r="G138" s="235">
        <f>'FY03 Detail'!$E$65/1000</f>
        <v>1869.77</v>
      </c>
      <c r="H138" s="236"/>
      <c r="J138" s="236">
        <f>'FY04 Detail'!$F$68/1000</f>
        <v>1835.885</v>
      </c>
      <c r="L138" s="276">
        <v>0.05</v>
      </c>
      <c r="M138" s="236">
        <f>SUM(J138*L138)+J138</f>
        <v>1927.67925</v>
      </c>
      <c r="AA138" s="213">
        <f>SUM('FY05 Detail'!F67)/1000</f>
        <v>1939.825</v>
      </c>
    </row>
    <row r="139" spans="2:27" ht="12.75">
      <c r="B139" s="14" t="s">
        <v>47</v>
      </c>
      <c r="E139" s="211">
        <v>866</v>
      </c>
      <c r="G139" s="235">
        <f>'FY03 Detail'!$F$65/1000</f>
        <v>987.404</v>
      </c>
      <c r="H139" s="236"/>
      <c r="J139" s="236">
        <f>'FY04 Detail'!$G$68/1000</f>
        <v>1001.759</v>
      </c>
      <c r="L139" s="276">
        <v>0.08</v>
      </c>
      <c r="M139" s="236">
        <f>SUM(J139*L139)+J139</f>
        <v>1081.8997200000001</v>
      </c>
      <c r="AA139" s="213">
        <f>SUM('FY05 Detail'!G67)/1000</f>
        <v>1103.499</v>
      </c>
    </row>
    <row r="140" spans="2:27" ht="12.75">
      <c r="B140" s="14" t="s">
        <v>123</v>
      </c>
      <c r="E140" s="211">
        <v>113</v>
      </c>
      <c r="G140" s="235">
        <f>'FY03 Detail'!$G$65/1000</f>
        <v>111.992</v>
      </c>
      <c r="H140" s="236"/>
      <c r="J140" s="236">
        <f>'FY04 Detail'!$H$68/1000</f>
        <v>79.671</v>
      </c>
      <c r="M140" s="32">
        <v>130</v>
      </c>
      <c r="AA140" s="213">
        <f>SUM('FY05 Detail'!H67)/1000</f>
        <v>13.6</v>
      </c>
    </row>
    <row r="141" spans="2:27" ht="12.75">
      <c r="B141" s="14" t="s">
        <v>209</v>
      </c>
      <c r="E141" s="211">
        <v>249</v>
      </c>
      <c r="G141" s="235">
        <f>'FY03 Detail'!$H$65/1000</f>
        <v>306.887</v>
      </c>
      <c r="H141" s="236"/>
      <c r="J141" s="236">
        <f>'FY04 Detail'!$I$68/1000</f>
        <v>320.033</v>
      </c>
      <c r="M141" s="32">
        <v>361</v>
      </c>
      <c r="AA141" s="298">
        <f>SUM('FY05 Detail'!I67)/1000</f>
        <v>360.607</v>
      </c>
    </row>
    <row r="142" spans="1:27" ht="12.75">
      <c r="A142" s="14" t="s">
        <v>98</v>
      </c>
      <c r="E142" s="230">
        <f>SUM(E137:E141)</f>
        <v>3682</v>
      </c>
      <c r="F142" s="208"/>
      <c r="G142" s="239">
        <f>SUM(G137:G141)</f>
        <v>3814.786</v>
      </c>
      <c r="H142" s="240"/>
      <c r="I142" s="288" t="s">
        <v>16</v>
      </c>
      <c r="J142" s="241">
        <f>SUM(J137:J141)</f>
        <v>3794.482</v>
      </c>
      <c r="K142" s="240"/>
      <c r="L142" s="276" t="s">
        <v>16</v>
      </c>
      <c r="M142" s="241">
        <f>SUM(M137:M141)</f>
        <v>4113.42637</v>
      </c>
      <c r="N142" s="242"/>
      <c r="O142" s="208">
        <v>0.03</v>
      </c>
      <c r="P142" s="243">
        <f>+M142+(M142*O142)</f>
        <v>4236.8291611</v>
      </c>
      <c r="Q142" s="242"/>
      <c r="R142" s="208">
        <v>0.03</v>
      </c>
      <c r="S142" s="243">
        <f>+P142+(P142*R142)</f>
        <v>4363.934035933001</v>
      </c>
      <c r="U142" s="208">
        <v>0.03</v>
      </c>
      <c r="V142" s="243">
        <f>+S142+(S142*U142)</f>
        <v>4494.85205701099</v>
      </c>
      <c r="AA142" s="213">
        <f>SUM(AA137:AA141)</f>
        <v>3933.6</v>
      </c>
    </row>
    <row r="143" spans="5:7" ht="12.75">
      <c r="E143" s="211"/>
      <c r="G143" s="211"/>
    </row>
    <row r="144" spans="1:7" ht="12.75">
      <c r="A144" s="14" t="s">
        <v>90</v>
      </c>
      <c r="E144" s="211"/>
      <c r="G144" s="211"/>
    </row>
    <row r="145" spans="2:22" ht="12.75">
      <c r="B145" s="14" t="s">
        <v>49</v>
      </c>
      <c r="E145" s="211">
        <v>1188</v>
      </c>
      <c r="G145" s="211">
        <v>1203</v>
      </c>
      <c r="J145" s="32">
        <v>1181</v>
      </c>
      <c r="M145" s="236">
        <f>SUM('Solid Waste '!E7:E10)/1000</f>
        <v>31.53</v>
      </c>
      <c r="N145" s="236"/>
      <c r="O145" s="236"/>
      <c r="P145" s="238">
        <f>SUM('Solid Waste '!F7:F10)/1000</f>
        <v>703.53</v>
      </c>
      <c r="Q145" s="236"/>
      <c r="R145" s="236"/>
      <c r="S145" s="238">
        <f>SUM('Solid Waste '!G7:G10)/1000</f>
        <v>2287.29</v>
      </c>
      <c r="T145" s="236"/>
      <c r="U145" s="236"/>
      <c r="V145" s="238">
        <f>SUM('Solid Waste '!H7:H10)/1000</f>
        <v>2350.77</v>
      </c>
    </row>
    <row r="146" spans="2:22" ht="12.75">
      <c r="B146" s="14" t="s">
        <v>50</v>
      </c>
      <c r="E146" s="211">
        <f>1365+11</f>
        <v>1376</v>
      </c>
      <c r="G146" s="211">
        <v>1406</v>
      </c>
      <c r="J146" s="32">
        <v>1445</v>
      </c>
      <c r="M146" s="236">
        <f>SUM('Solid Waste '!E5:E6)/1000</f>
        <v>2702.08</v>
      </c>
      <c r="N146" s="236"/>
      <c r="O146" s="246">
        <v>0.05</v>
      </c>
      <c r="P146" s="238">
        <f>SUM('Solid Waste '!F5:F6)/1000</f>
        <v>1519.98</v>
      </c>
      <c r="Q146" s="236"/>
      <c r="R146" s="246">
        <v>0.05</v>
      </c>
      <c r="S146" s="238">
        <f>SUM('Solid Waste '!G5:G6)/1000</f>
        <v>0</v>
      </c>
      <c r="T146" s="236"/>
      <c r="U146" s="246">
        <v>0.05</v>
      </c>
      <c r="V146" s="238">
        <f>SUM('Solid Waste '!H5:H6)/1000</f>
        <v>0</v>
      </c>
    </row>
    <row r="147" spans="2:27" ht="12.75">
      <c r="B147" s="14" t="s">
        <v>94</v>
      </c>
      <c r="E147" s="230">
        <f>+E145+E146</f>
        <v>2564</v>
      </c>
      <c r="F147" s="200">
        <f>+(G147-E147)/E147</f>
        <v>0.017550702028081122</v>
      </c>
      <c r="G147" s="230">
        <f>+G145+G146</f>
        <v>2609</v>
      </c>
      <c r="H147" s="66"/>
      <c r="I147" s="287">
        <f>+(J147-G147)/G147</f>
        <v>0.006515906477577616</v>
      </c>
      <c r="J147" s="231">
        <f>+J145+J146</f>
        <v>2626</v>
      </c>
      <c r="K147" s="66"/>
      <c r="L147" s="275">
        <f>+(M147-J147)/J147</f>
        <v>0.04097867479055603</v>
      </c>
      <c r="M147" s="241">
        <f>SUM(M145:M146)</f>
        <v>2733.61</v>
      </c>
      <c r="N147" s="240"/>
      <c r="O147" s="236" t="s">
        <v>16</v>
      </c>
      <c r="P147" s="247">
        <f>SUM(P145:P146)</f>
        <v>2223.51</v>
      </c>
      <c r="Q147" s="240"/>
      <c r="R147" s="236" t="s">
        <v>16</v>
      </c>
      <c r="S147" s="247">
        <f>SUM(S145:S146)</f>
        <v>2287.29</v>
      </c>
      <c r="T147" s="236"/>
      <c r="U147" s="236" t="s">
        <v>16</v>
      </c>
      <c r="V147" s="247">
        <f>SUM(V145:V146)</f>
        <v>2350.77</v>
      </c>
      <c r="AA147" s="213">
        <f>SUM('FY05 Detail'!R67)/1000</f>
        <v>2717.08</v>
      </c>
    </row>
    <row r="148" spans="5:22" ht="12.75">
      <c r="E148" s="248" t="s">
        <v>16</v>
      </c>
      <c r="F148" s="192"/>
      <c r="G148" s="248" t="s">
        <v>16</v>
      </c>
      <c r="H148" s="193"/>
      <c r="J148" s="249" t="s">
        <v>16</v>
      </c>
      <c r="K148" s="249"/>
      <c r="M148" s="193" t="s">
        <v>16</v>
      </c>
      <c r="N148" s="192"/>
      <c r="O148" s="192"/>
      <c r="P148" s="192" t="s">
        <v>16</v>
      </c>
      <c r="Q148" s="192"/>
      <c r="R148" s="192"/>
      <c r="S148" s="192" t="s">
        <v>16</v>
      </c>
      <c r="U148" s="192"/>
      <c r="V148" s="192" t="s">
        <v>16</v>
      </c>
    </row>
    <row r="149" spans="1:7" ht="12.75">
      <c r="A149" s="14" t="s">
        <v>109</v>
      </c>
      <c r="E149" s="211"/>
      <c r="G149" s="211"/>
    </row>
    <row r="150" spans="2:22" ht="12.75">
      <c r="B150" s="14" t="s">
        <v>14</v>
      </c>
      <c r="E150" s="197">
        <v>4772</v>
      </c>
      <c r="F150" s="200">
        <v>0.035</v>
      </c>
      <c r="G150" s="197">
        <v>4963</v>
      </c>
      <c r="H150" s="172"/>
      <c r="I150" s="287">
        <f>+(J150-G150)/G150</f>
        <v>0.17287930687084424</v>
      </c>
      <c r="J150" s="172">
        <v>5821</v>
      </c>
      <c r="K150" s="172"/>
      <c r="L150" s="275">
        <v>0.035</v>
      </c>
      <c r="M150" s="172">
        <f>+J150*(1+L150)</f>
        <v>6024.735</v>
      </c>
      <c r="N150" s="76"/>
      <c r="O150" s="200">
        <v>0.035</v>
      </c>
      <c r="P150" s="76">
        <f>+M150*(1+O150)</f>
        <v>6235.600724999999</v>
      </c>
      <c r="Q150" s="76"/>
      <c r="R150" s="200">
        <v>0.035</v>
      </c>
      <c r="S150" s="76">
        <f>+P150*(1+R150)</f>
        <v>6453.846750374999</v>
      </c>
      <c r="U150" s="200">
        <v>0.035</v>
      </c>
      <c r="V150" s="76">
        <f>+S150*(1+U150)</f>
        <v>6679.731386638124</v>
      </c>
    </row>
    <row r="151" spans="2:22" ht="12.75">
      <c r="B151" s="14" t="s">
        <v>15</v>
      </c>
      <c r="E151" s="197">
        <v>3709</v>
      </c>
      <c r="F151" s="200">
        <v>0.08</v>
      </c>
      <c r="G151" s="197">
        <v>3878</v>
      </c>
      <c r="H151" s="172"/>
      <c r="I151" s="287">
        <f>+(J151-G151)/G151</f>
        <v>-0.07555440948942754</v>
      </c>
      <c r="J151" s="172">
        <v>3585</v>
      </c>
      <c r="K151" s="172"/>
      <c r="L151" s="275">
        <v>0.08</v>
      </c>
      <c r="M151" s="172">
        <f>+J151*(1+L151)</f>
        <v>3871.8</v>
      </c>
      <c r="N151" s="76"/>
      <c r="O151" s="200">
        <v>0.08</v>
      </c>
      <c r="P151" s="76">
        <f>+M151*(1+O151)</f>
        <v>4181.544000000001</v>
      </c>
      <c r="Q151" s="76"/>
      <c r="R151" s="200">
        <v>0.08</v>
      </c>
      <c r="S151" s="76">
        <f>+P151*(1+R151)</f>
        <v>4516.067520000001</v>
      </c>
      <c r="U151" s="200">
        <v>0.08</v>
      </c>
      <c r="V151" s="76">
        <f>+S151*(1+U151)</f>
        <v>4877.3529216000015</v>
      </c>
    </row>
    <row r="152" spans="2:22" ht="12.75">
      <c r="B152" s="14" t="s">
        <v>44</v>
      </c>
      <c r="E152" s="202">
        <v>272</v>
      </c>
      <c r="F152" s="214">
        <v>0</v>
      </c>
      <c r="G152" s="202">
        <v>136</v>
      </c>
      <c r="H152" s="141"/>
      <c r="I152" s="287">
        <f>+(J152-G152)/G152</f>
        <v>-0.014705882352941176</v>
      </c>
      <c r="J152" s="203">
        <v>134</v>
      </c>
      <c r="K152" s="141"/>
      <c r="L152" s="275">
        <v>0</v>
      </c>
      <c r="M152" s="203">
        <f>+J152*(1+L152)</f>
        <v>134</v>
      </c>
      <c r="N152" s="80"/>
      <c r="O152" s="214">
        <v>0</v>
      </c>
      <c r="P152" s="104">
        <f>+M152*(1+O152)</f>
        <v>134</v>
      </c>
      <c r="Q152" s="80"/>
      <c r="R152" s="214">
        <v>0</v>
      </c>
      <c r="S152" s="104">
        <f>+P152*(1+R152)</f>
        <v>134</v>
      </c>
      <c r="U152" s="214">
        <v>0</v>
      </c>
      <c r="V152" s="104">
        <f>+S152*(1+U152)</f>
        <v>134</v>
      </c>
    </row>
    <row r="153" spans="1:22" ht="12.75">
      <c r="A153" s="14" t="s">
        <v>17</v>
      </c>
      <c r="E153" s="197">
        <f>+E150+E151+E152</f>
        <v>8753</v>
      </c>
      <c r="F153" s="200"/>
      <c r="G153" s="197">
        <f>+G150+G151+G152</f>
        <v>8977</v>
      </c>
      <c r="H153" s="172"/>
      <c r="I153" s="287"/>
      <c r="J153" s="172">
        <f>+J150+J151+J152</f>
        <v>9540</v>
      </c>
      <c r="K153" s="172"/>
      <c r="L153" s="275"/>
      <c r="M153" s="172">
        <f>+M150+M151+M152</f>
        <v>10030.535</v>
      </c>
      <c r="N153" s="76"/>
      <c r="O153" s="200"/>
      <c r="P153" s="76">
        <f>+P150+P151+P152</f>
        <v>10551.144725</v>
      </c>
      <c r="Q153" s="76"/>
      <c r="R153" s="200"/>
      <c r="S153" s="76">
        <f>+S150+S151+S152</f>
        <v>11103.914270375</v>
      </c>
      <c r="U153" s="200"/>
      <c r="V153" s="76">
        <f>+V150+V151+V152</f>
        <v>11691.084308238125</v>
      </c>
    </row>
    <row r="154" spans="5:22" ht="12.75">
      <c r="E154" s="197"/>
      <c r="F154" s="200"/>
      <c r="G154" s="197"/>
      <c r="H154" s="172"/>
      <c r="I154" s="287"/>
      <c r="J154" s="172"/>
      <c r="K154" s="172"/>
      <c r="L154" s="275"/>
      <c r="M154" s="172"/>
      <c r="N154" s="76"/>
      <c r="O154" s="200"/>
      <c r="P154" s="76"/>
      <c r="Q154" s="76"/>
      <c r="R154" s="200"/>
      <c r="S154" s="76"/>
      <c r="U154" s="200"/>
      <c r="V154" s="76"/>
    </row>
    <row r="155" spans="1:7" ht="12.75">
      <c r="A155" s="14" t="s">
        <v>110</v>
      </c>
      <c r="E155" s="211"/>
      <c r="G155" s="211"/>
    </row>
    <row r="156" spans="1:22" ht="12.75">
      <c r="A156" s="14" t="s">
        <v>37</v>
      </c>
      <c r="B156" s="14" t="s">
        <v>14</v>
      </c>
      <c r="E156" s="197">
        <f>+E150</f>
        <v>4772</v>
      </c>
      <c r="G156" s="197">
        <f>+G150</f>
        <v>4963</v>
      </c>
      <c r="H156" s="172"/>
      <c r="J156" s="172">
        <f>+J150</f>
        <v>5821</v>
      </c>
      <c r="K156" s="172"/>
      <c r="M156" s="172">
        <f>+M150</f>
        <v>6024.735</v>
      </c>
      <c r="N156" s="76"/>
      <c r="P156" s="76">
        <f>+P150</f>
        <v>6235.600724999999</v>
      </c>
      <c r="Q156" s="76"/>
      <c r="S156" s="76">
        <f>+S150</f>
        <v>6453.846750374999</v>
      </c>
      <c r="V156" s="76">
        <f>+V150</f>
        <v>6679.731386638124</v>
      </c>
    </row>
    <row r="157" spans="2:22" ht="12.75">
      <c r="B157" s="14" t="s">
        <v>15</v>
      </c>
      <c r="E157" s="197">
        <f>+E151</f>
        <v>3709</v>
      </c>
      <c r="G157" s="197">
        <f>+G151</f>
        <v>3878</v>
      </c>
      <c r="H157" s="172"/>
      <c r="J157" s="172">
        <f>+J151</f>
        <v>3585</v>
      </c>
      <c r="K157" s="172"/>
      <c r="M157" s="172">
        <f>+M151</f>
        <v>3871.8</v>
      </c>
      <c r="N157" s="76"/>
      <c r="P157" s="76">
        <f>+P151</f>
        <v>4181.544000000001</v>
      </c>
      <c r="Q157" s="76"/>
      <c r="S157" s="76">
        <f>+S151</f>
        <v>4516.067520000001</v>
      </c>
      <c r="V157" s="76">
        <f>+V151</f>
        <v>4877.3529216000015</v>
      </c>
    </row>
    <row r="158" spans="2:22" ht="12.75">
      <c r="B158" s="14" t="s">
        <v>44</v>
      </c>
      <c r="E158" s="202">
        <f>+E152</f>
        <v>272</v>
      </c>
      <c r="G158" s="197">
        <f>+G152</f>
        <v>136</v>
      </c>
      <c r="H158" s="172"/>
      <c r="J158" s="203">
        <f>+J152</f>
        <v>134</v>
      </c>
      <c r="K158" s="141"/>
      <c r="M158" s="203">
        <f>+M152</f>
        <v>134</v>
      </c>
      <c r="N158" s="80"/>
      <c r="P158" s="104">
        <f>+P152</f>
        <v>134</v>
      </c>
      <c r="Q158" s="80"/>
      <c r="S158" s="104">
        <f>+S152</f>
        <v>134</v>
      </c>
      <c r="V158" s="104">
        <f>+V152</f>
        <v>134</v>
      </c>
    </row>
    <row r="159" spans="1:22" ht="12.75">
      <c r="A159" s="14" t="s">
        <v>38</v>
      </c>
      <c r="E159" s="197">
        <f>SUM(E156:E158)</f>
        <v>8753</v>
      </c>
      <c r="G159" s="205">
        <f>SUM(G156:G158)</f>
        <v>8977</v>
      </c>
      <c r="H159" s="141"/>
      <c r="J159" s="206">
        <f>SUM(J156:J158)</f>
        <v>9540</v>
      </c>
      <c r="K159" s="141"/>
      <c r="M159" s="206">
        <f>SUM(M156:M158)</f>
        <v>10030.535</v>
      </c>
      <c r="N159" s="80"/>
      <c r="P159" s="93">
        <f>SUM(P156:P158)</f>
        <v>10551.144725</v>
      </c>
      <c r="Q159" s="80"/>
      <c r="S159" s="93">
        <f>SUM(S156:S158)</f>
        <v>11103.914270375</v>
      </c>
      <c r="V159" s="93">
        <f>SUM(V156:V158)</f>
        <v>11691.084308238125</v>
      </c>
    </row>
    <row r="160" spans="5:22" ht="12.75">
      <c r="E160" s="76"/>
      <c r="G160" s="141"/>
      <c r="H160" s="141"/>
      <c r="J160" s="141"/>
      <c r="K160" s="141"/>
      <c r="M160" s="141"/>
      <c r="N160" s="80"/>
      <c r="P160" s="80"/>
      <c r="Q160" s="80"/>
      <c r="S160" s="80"/>
      <c r="V160" s="80"/>
    </row>
    <row r="161" spans="5:22" ht="12.75">
      <c r="E161" s="76"/>
      <c r="G161" s="141"/>
      <c r="H161" s="141"/>
      <c r="J161" s="141"/>
      <c r="K161" s="141"/>
      <c r="M161" s="141"/>
      <c r="N161" s="80"/>
      <c r="P161" s="80"/>
      <c r="Q161" s="80"/>
      <c r="S161" s="80"/>
      <c r="V161" s="80"/>
    </row>
    <row r="162" spans="1:22" ht="12.75">
      <c r="A162" s="14" t="s">
        <v>270</v>
      </c>
      <c r="E162" s="76"/>
      <c r="G162" s="141"/>
      <c r="H162" s="141"/>
      <c r="J162" s="141"/>
      <c r="K162" s="141"/>
      <c r="M162" s="141"/>
      <c r="N162" s="80"/>
      <c r="P162" s="80"/>
      <c r="Q162" s="80"/>
      <c r="S162" s="80"/>
      <c r="V162" s="80"/>
    </row>
    <row r="163" spans="5:22" ht="12.75">
      <c r="E163" s="76"/>
      <c r="G163" s="141"/>
      <c r="H163" s="141"/>
      <c r="J163" s="141"/>
      <c r="K163" s="141"/>
      <c r="M163" s="141"/>
      <c r="N163" s="80"/>
      <c r="P163" s="80"/>
      <c r="Q163" s="80"/>
      <c r="S163" s="80"/>
      <c r="V163" s="80"/>
    </row>
    <row r="164" spans="5:22" ht="12.75" hidden="1">
      <c r="E164" s="76"/>
      <c r="G164" s="141"/>
      <c r="H164" s="141"/>
      <c r="J164" s="141"/>
      <c r="K164" s="141"/>
      <c r="M164" s="141"/>
      <c r="N164" s="80"/>
      <c r="P164" s="80"/>
      <c r="Q164" s="80"/>
      <c r="S164" s="80"/>
      <c r="V164" s="80"/>
    </row>
    <row r="165" spans="1:22" ht="12.75" hidden="1">
      <c r="A165" s="14" t="s">
        <v>117</v>
      </c>
      <c r="E165" s="197">
        <f>+E15</f>
        <v>43532</v>
      </c>
      <c r="G165" s="197">
        <f>+G15</f>
        <v>47164</v>
      </c>
      <c r="H165" s="172"/>
      <c r="J165" s="172">
        <f>+J15</f>
        <v>51021.172999999995</v>
      </c>
      <c r="K165" s="172"/>
      <c r="M165" s="172">
        <f>+M15</f>
        <v>52282.547999999995</v>
      </c>
      <c r="N165" s="76"/>
      <c r="P165" s="76">
        <f>+P15</f>
        <v>54099.232125</v>
      </c>
      <c r="Q165" s="76"/>
      <c r="S165" s="76">
        <f>+S15</f>
        <v>55718.122103124995</v>
      </c>
      <c r="V165" s="76">
        <f>+V15</f>
        <v>57376.804955703126</v>
      </c>
    </row>
    <row r="166" spans="1:7" ht="12.75" hidden="1">
      <c r="A166" s="14" t="s">
        <v>116</v>
      </c>
      <c r="E166" s="211"/>
      <c r="G166" s="211"/>
    </row>
    <row r="167" spans="5:7" ht="12.75" hidden="1">
      <c r="E167" s="211"/>
      <c r="G167" s="211"/>
    </row>
    <row r="168" spans="1:22" ht="12.75" hidden="1">
      <c r="A168" s="14" t="s">
        <v>111</v>
      </c>
      <c r="E168" s="250">
        <f>+E165/3836</f>
        <v>11.348279457768509</v>
      </c>
      <c r="G168" s="250">
        <f>+G165/4375</f>
        <v>10.780342857142857</v>
      </c>
      <c r="H168" s="251"/>
      <c r="J168" s="251">
        <f>+J165/(4766)</f>
        <v>10.705239823751572</v>
      </c>
      <c r="K168" s="251"/>
      <c r="M168" s="251">
        <f>+M165/(4766*1.01)</f>
        <v>10.861288084326686</v>
      </c>
      <c r="N168" s="144"/>
      <c r="P168" s="250">
        <f>+P165/(4766*1.01*1.01)</f>
        <v>11.127415763341478</v>
      </c>
      <c r="Q168" s="144"/>
      <c r="S168" s="250">
        <f>+S165/(4766*1.01*1.01*1.01)</f>
        <v>11.34692832025234</v>
      </c>
      <c r="V168" s="250">
        <f>+V165/(4766*1.01*1.01*1.01*1.01)</f>
        <v>11.5690268131882</v>
      </c>
    </row>
    <row r="169" spans="5:22" ht="12.75" hidden="1">
      <c r="E169" s="250" t="s">
        <v>122</v>
      </c>
      <c r="G169" s="250"/>
      <c r="H169" s="251"/>
      <c r="J169" s="251"/>
      <c r="K169" s="251"/>
      <c r="M169" s="251"/>
      <c r="N169" s="144"/>
      <c r="P169" s="144"/>
      <c r="Q169" s="144"/>
      <c r="S169" s="144"/>
      <c r="V169" s="144"/>
    </row>
    <row r="170" spans="5:7" ht="12.75" hidden="1">
      <c r="E170" s="211"/>
      <c r="G170" s="211"/>
    </row>
    <row r="171" spans="1:22" ht="12.75" hidden="1">
      <c r="A171" s="14" t="s">
        <v>118</v>
      </c>
      <c r="E171" s="197">
        <f>+E66</f>
        <v>-600</v>
      </c>
      <c r="G171" s="197">
        <v>0</v>
      </c>
      <c r="H171" s="172"/>
      <c r="J171" s="172">
        <f>+J66</f>
        <v>21.708000000005995</v>
      </c>
      <c r="K171" s="172"/>
      <c r="M171" s="172">
        <f>+M66</f>
        <v>703.0969200000109</v>
      </c>
      <c r="N171" s="76"/>
      <c r="P171" s="76">
        <f>+P66</f>
        <v>2149.173426999987</v>
      </c>
      <c r="Q171" s="76"/>
      <c r="S171" s="76">
        <f>+S66</f>
        <v>4358.6928274550155</v>
      </c>
      <c r="V171" s="76">
        <f>+V66</f>
        <v>6513.124471404473</v>
      </c>
    </row>
    <row r="172" spans="1:7" ht="12.75" hidden="1">
      <c r="A172" s="14" t="s">
        <v>119</v>
      </c>
      <c r="E172" s="211"/>
      <c r="G172" s="211"/>
    </row>
    <row r="173" spans="5:7" ht="12.75" hidden="1">
      <c r="E173" s="211"/>
      <c r="G173" s="211"/>
    </row>
    <row r="174" spans="1:22" ht="12.75" hidden="1">
      <c r="A174" s="14" t="s">
        <v>120</v>
      </c>
      <c r="E174" s="250">
        <f>+E171/3836</f>
        <v>-0.15641293013555788</v>
      </c>
      <c r="F174" s="144"/>
      <c r="G174" s="250">
        <v>0</v>
      </c>
      <c r="H174" s="251"/>
      <c r="I174" s="294"/>
      <c r="J174" s="251">
        <f>+J171/4766</f>
        <v>0.004554762903903902</v>
      </c>
      <c r="K174" s="251"/>
      <c r="L174" s="282"/>
      <c r="M174" s="251">
        <f>+M171/(4766*1.01*1.01)</f>
        <v>0.14461668758417637</v>
      </c>
      <c r="N174" s="144"/>
      <c r="O174" s="144"/>
      <c r="P174" s="250">
        <f>+P171/(4766*1.01*1.01*1.01)</f>
        <v>0.4376765745770206</v>
      </c>
      <c r="Q174" s="144"/>
      <c r="S174" s="250">
        <f>+S171/(4766*1.01*1.01*1.01*1.01)</f>
        <v>0.8788539938779903</v>
      </c>
      <c r="V174" s="250">
        <f>+V171/(4766*1.01*1.01*1.01*1.01*1.01)</f>
        <v>1.3002548161253045</v>
      </c>
    </row>
    <row r="175" spans="1:7" ht="12.75" hidden="1">
      <c r="A175" s="14" t="s">
        <v>121</v>
      </c>
      <c r="E175" s="211"/>
      <c r="G175" s="211"/>
    </row>
    <row r="176" spans="5:7" ht="12.75" hidden="1">
      <c r="E176" s="211"/>
      <c r="G176" s="211"/>
    </row>
    <row r="177" spans="1:22" ht="12.75" hidden="1">
      <c r="A177" s="14" t="s">
        <v>112</v>
      </c>
      <c r="E177" s="252">
        <f>+E174+E168</f>
        <v>11.191866527632952</v>
      </c>
      <c r="G177" s="252">
        <f>+G174+G168</f>
        <v>10.780342857142857</v>
      </c>
      <c r="H177" s="253"/>
      <c r="J177" s="254">
        <f>+J174+J168</f>
        <v>10.709794586655477</v>
      </c>
      <c r="K177" s="253"/>
      <c r="M177" s="254">
        <f>+M174+M168</f>
        <v>11.005904771910863</v>
      </c>
      <c r="N177" s="255"/>
      <c r="P177" s="256">
        <f>+P174+P168</f>
        <v>11.565092337918498</v>
      </c>
      <c r="Q177" s="255"/>
      <c r="S177" s="256">
        <f>+S174+S168</f>
        <v>12.225782314130331</v>
      </c>
      <c r="V177" s="256">
        <f>+V174+V168</f>
        <v>12.869281629313505</v>
      </c>
    </row>
    <row r="178" spans="5:7" ht="12.75" hidden="1">
      <c r="E178" s="211"/>
      <c r="G178" s="211"/>
    </row>
    <row r="179" spans="1:7" ht="12.75" hidden="1">
      <c r="A179" s="14" t="s">
        <v>125</v>
      </c>
      <c r="E179" s="211"/>
      <c r="G179" s="211"/>
    </row>
    <row r="180" spans="1:22" ht="12.75" hidden="1">
      <c r="A180" s="14" t="s">
        <v>113</v>
      </c>
      <c r="E180" s="211">
        <v>0</v>
      </c>
      <c r="G180" s="211" t="s">
        <v>16</v>
      </c>
      <c r="J180" s="32" t="s">
        <v>16</v>
      </c>
      <c r="M180" s="32" t="s">
        <v>16</v>
      </c>
      <c r="P180" s="14" t="s">
        <v>16</v>
      </c>
      <c r="S180" s="14" t="s">
        <v>16</v>
      </c>
      <c r="V180" s="14" t="s">
        <v>16</v>
      </c>
    </row>
    <row r="181" spans="1:22" ht="12.75" hidden="1">
      <c r="A181" s="14" t="s">
        <v>286</v>
      </c>
      <c r="E181" s="211"/>
      <c r="G181" s="211"/>
      <c r="J181" s="32" t="s">
        <v>16</v>
      </c>
      <c r="M181" s="32" t="s">
        <v>16</v>
      </c>
      <c r="P181" s="14" t="s">
        <v>16</v>
      </c>
      <c r="S181" s="14" t="s">
        <v>16</v>
      </c>
      <c r="V181" s="14" t="s">
        <v>16</v>
      </c>
    </row>
    <row r="182" spans="1:23" ht="12.75" hidden="1">
      <c r="A182" s="257" t="s">
        <v>126</v>
      </c>
      <c r="B182" s="257"/>
      <c r="C182" s="257"/>
      <c r="E182" s="211"/>
      <c r="G182" s="211"/>
      <c r="M182" s="32">
        <v>0.23</v>
      </c>
      <c r="P182" s="14">
        <v>0.23</v>
      </c>
      <c r="S182" s="14">
        <v>0.22</v>
      </c>
      <c r="V182" s="14">
        <v>0.22</v>
      </c>
      <c r="W182" s="14" t="s">
        <v>315</v>
      </c>
    </row>
    <row r="183" spans="1:23" ht="12.75" hidden="1">
      <c r="A183" s="257" t="s">
        <v>126</v>
      </c>
      <c r="B183" s="257"/>
      <c r="C183" s="257"/>
      <c r="E183" s="211"/>
      <c r="G183" s="211"/>
      <c r="P183" s="14">
        <v>0.23</v>
      </c>
      <c r="S183" s="14">
        <v>0.23</v>
      </c>
      <c r="V183" s="14">
        <v>0.23</v>
      </c>
      <c r="W183" s="14" t="s">
        <v>316</v>
      </c>
    </row>
    <row r="184" spans="1:22" ht="12.75" hidden="1">
      <c r="A184" s="257" t="s">
        <v>126</v>
      </c>
      <c r="B184" s="257"/>
      <c r="C184" s="257"/>
      <c r="E184" s="211"/>
      <c r="G184" s="211"/>
      <c r="S184" s="14">
        <v>0.23</v>
      </c>
      <c r="V184" s="14">
        <v>0.23</v>
      </c>
    </row>
    <row r="185" spans="5:7" ht="12.75" hidden="1">
      <c r="E185" s="211"/>
      <c r="G185" s="211"/>
    </row>
    <row r="186" spans="1:22" ht="12.75" hidden="1">
      <c r="A186" s="14" t="s">
        <v>114</v>
      </c>
      <c r="E186" s="252">
        <f>SUM(E177:E185)</f>
        <v>11.191866527632952</v>
      </c>
      <c r="G186" s="252">
        <f>SUM(G177:G185)</f>
        <v>10.780342857142857</v>
      </c>
      <c r="H186" s="253"/>
      <c r="J186" s="254">
        <f>SUM(J177:J185)</f>
        <v>10.709794586655477</v>
      </c>
      <c r="K186" s="253"/>
      <c r="M186" s="254">
        <f>SUM(M177:M185)</f>
        <v>11.235904771910864</v>
      </c>
      <c r="N186" s="255"/>
      <c r="P186" s="256">
        <f>SUM(P177:P185)</f>
        <v>12.0250923379185</v>
      </c>
      <c r="Q186" s="255"/>
      <c r="S186" s="256">
        <f>SUM(S177:S185)</f>
        <v>12.905782314130333</v>
      </c>
      <c r="V186" s="256">
        <f>SUM(V177:V185)</f>
        <v>13.549281629313507</v>
      </c>
    </row>
    <row r="187" spans="5:7" ht="12.75" hidden="1">
      <c r="E187" s="211"/>
      <c r="G187" s="211"/>
    </row>
    <row r="188" spans="1:22" ht="12.75" hidden="1">
      <c r="A188" s="14" t="s">
        <v>115</v>
      </c>
      <c r="E188" s="211"/>
      <c r="G188" s="258">
        <f>+(G186-E186)/E186</f>
        <v>-0.036769887263579666</v>
      </c>
      <c r="H188" s="209"/>
      <c r="J188" s="199">
        <f>+(J186-G186)/G186</f>
        <v>-0.006544158328010557</v>
      </c>
      <c r="K188" s="209"/>
      <c r="M188" s="199">
        <f>+(M186-J186)/J186</f>
        <v>0.04912420877902983</v>
      </c>
      <c r="N188" s="208"/>
      <c r="P188" s="208">
        <f>+(P186-M186)/M186</f>
        <v>0.07023800771083077</v>
      </c>
      <c r="Q188" s="208"/>
      <c r="S188" s="208">
        <f>+(S186-P186)/P186</f>
        <v>0.07323768928033676</v>
      </c>
      <c r="V188" s="208">
        <f>+(V186-S186)/S186</f>
        <v>0.04986131793642738</v>
      </c>
    </row>
    <row r="189" spans="5:7" ht="12.75" hidden="1">
      <c r="E189" s="211"/>
      <c r="G189" s="211"/>
    </row>
    <row r="190" spans="1:7" ht="12.75" hidden="1">
      <c r="A190" s="14" t="s">
        <v>310</v>
      </c>
      <c r="E190" s="211"/>
      <c r="G190" s="211"/>
    </row>
    <row r="191" spans="3:22" ht="12.75" hidden="1">
      <c r="C191" s="107">
        <v>560</v>
      </c>
      <c r="E191" s="259">
        <f>+$C$191*E186</f>
        <v>6267.445255474453</v>
      </c>
      <c r="F191" s="102">
        <v>633.7</v>
      </c>
      <c r="G191" s="259">
        <f>+$F$191*G186</f>
        <v>6831.5032685714295</v>
      </c>
      <c r="H191" s="260"/>
      <c r="I191" s="295">
        <f>SUM(F191*1.1)</f>
        <v>697.07</v>
      </c>
      <c r="J191" s="260">
        <f>+$I$191*J186</f>
        <v>7465.476512519934</v>
      </c>
      <c r="K191" s="260"/>
      <c r="L191" s="283">
        <f>SUM(I191*1.01)</f>
        <v>704.0407</v>
      </c>
      <c r="M191" s="260">
        <f>+L191*M186</f>
        <v>7910.534260749465</v>
      </c>
      <c r="N191" s="102"/>
      <c r="O191" s="102">
        <f>SUM(L191*1.01)</f>
        <v>711.081107</v>
      </c>
      <c r="P191" s="102">
        <f>+O191*P186</f>
        <v>8550.815971424305</v>
      </c>
      <c r="Q191" s="102"/>
      <c r="R191" s="102">
        <f>SUM(O191*1.01)</f>
        <v>718.1919180699999</v>
      </c>
      <c r="S191" s="102">
        <f>+R191*S186</f>
        <v>9268.828554379146</v>
      </c>
      <c r="T191" s="102"/>
      <c r="U191" s="102">
        <f>SUM(R191*1.01)</f>
        <v>725.3738372506999</v>
      </c>
      <c r="V191" s="102">
        <f>+U191*V186</f>
        <v>9828.294407445554</v>
      </c>
    </row>
    <row r="192" spans="2:22" ht="12.75" hidden="1">
      <c r="B192" s="14" t="s">
        <v>289</v>
      </c>
      <c r="G192" s="237">
        <f>SUM(G191/E191)-1</f>
        <v>0.08999807578762442</v>
      </c>
      <c r="J192" s="237">
        <f>SUM(J191/G191)-1</f>
        <v>0.09280142583918827</v>
      </c>
      <c r="M192" s="237">
        <f>SUM(M191/J191)-1</f>
        <v>0.059615450866820074</v>
      </c>
      <c r="P192" s="237">
        <f>SUM(P191/M191)-1</f>
        <v>0.0809403877879391</v>
      </c>
      <c r="S192" s="237">
        <f>SUM(S191/P191)-1</f>
        <v>0.08397006617313996</v>
      </c>
      <c r="V192" s="237">
        <f>SUM(V191/S191)-1</f>
        <v>0.06035993111579163</v>
      </c>
    </row>
    <row r="193" ht="12.75" hidden="1">
      <c r="A193" s="14" t="s">
        <v>273</v>
      </c>
    </row>
    <row r="194" ht="12.75" hidden="1">
      <c r="A194" s="14" t="s">
        <v>287</v>
      </c>
    </row>
    <row r="195" ht="12.75" hidden="1">
      <c r="A195" s="14" t="s">
        <v>288</v>
      </c>
    </row>
    <row r="196" ht="12.75" hidden="1">
      <c r="A196" s="261" t="s">
        <v>309</v>
      </c>
    </row>
    <row r="197" ht="12.75" hidden="1"/>
    <row r="198" ht="12.75" hidden="1">
      <c r="A198" s="14" t="s">
        <v>313</v>
      </c>
    </row>
    <row r="199" ht="12.75" hidden="1">
      <c r="A199" s="14" t="s">
        <v>314</v>
      </c>
    </row>
    <row r="201" ht="12.75">
      <c r="A201" s="14" t="s">
        <v>301</v>
      </c>
    </row>
    <row r="203" spans="1:31" ht="12.75">
      <c r="A203" s="14" t="s">
        <v>9</v>
      </c>
      <c r="D203" s="208" t="s">
        <v>16</v>
      </c>
      <c r="E203" s="197">
        <v>12896</v>
      </c>
      <c r="F203" s="200">
        <f>G203/E203-1</f>
        <v>0.019293346774193365</v>
      </c>
      <c r="G203" s="197">
        <f>SUM('FY03 Detail'!$C$65/1000+'FY03 Detail'!$L$65/1000+'FY03 Detail'!$M$65/1000)</f>
        <v>13144.806999999999</v>
      </c>
      <c r="H203" s="172"/>
      <c r="I203" s="287">
        <f>J203/G203-1</f>
        <v>0.014250950964894482</v>
      </c>
      <c r="J203" s="172">
        <f>SUM('FY04 Detail'!$C$68/1000+'FY04 Detail'!$M$68/1000+'FY04 Detail'!$N$68/1000)</f>
        <v>13332.133</v>
      </c>
      <c r="K203" s="172"/>
      <c r="L203" s="275" t="s">
        <v>16</v>
      </c>
      <c r="M203" s="172">
        <f>SUM(J203*1%)+J203-50</f>
        <v>13415.45433</v>
      </c>
      <c r="N203" s="76"/>
      <c r="O203" s="200">
        <v>0.03</v>
      </c>
      <c r="P203" s="76">
        <f>+M203*(1+O203)</f>
        <v>13817.917959900002</v>
      </c>
      <c r="Q203" s="76"/>
      <c r="R203" s="200">
        <v>0.03</v>
      </c>
      <c r="S203" s="76">
        <f>+P203*(1+R203)</f>
        <v>14232.455498697002</v>
      </c>
      <c r="U203" s="200">
        <v>0.03</v>
      </c>
      <c r="V203" s="76">
        <f>+S203*(1+U203)</f>
        <v>14659.429163657913</v>
      </c>
      <c r="AA203" s="213">
        <f>SUM('FY05 Detail'!C67+'FY05 Detail'!M67+'FY05 Detail'!N67)/1000</f>
        <v>13532.262</v>
      </c>
      <c r="AE203" s="14" t="s">
        <v>16</v>
      </c>
    </row>
    <row r="204" spans="1:22" ht="12.75">
      <c r="A204" s="14" t="s">
        <v>342</v>
      </c>
      <c r="D204" s="208"/>
      <c r="E204" s="197"/>
      <c r="F204" s="200"/>
      <c r="G204" s="197"/>
      <c r="H204" s="172"/>
      <c r="I204" s="287"/>
      <c r="J204" s="172"/>
      <c r="K204" s="172"/>
      <c r="L204" s="275"/>
      <c r="M204" s="172"/>
      <c r="N204" s="76"/>
      <c r="O204" s="200"/>
      <c r="P204" s="76"/>
      <c r="Q204" s="76"/>
      <c r="R204" s="200"/>
      <c r="S204" s="76"/>
      <c r="U204" s="200"/>
      <c r="V204" s="76"/>
    </row>
    <row r="205" spans="4:22" ht="12.75">
      <c r="D205" s="208"/>
      <c r="E205" s="197"/>
      <c r="F205" s="200"/>
      <c r="G205" s="197"/>
      <c r="H205" s="172"/>
      <c r="I205" s="287"/>
      <c r="J205" s="172"/>
      <c r="K205" s="172"/>
      <c r="L205" s="275"/>
      <c r="M205" s="172"/>
      <c r="N205" s="76"/>
      <c r="O205" s="200"/>
      <c r="P205" s="76"/>
      <c r="Q205" s="76"/>
      <c r="R205" s="200"/>
      <c r="S205" s="76"/>
      <c r="U205" s="200"/>
      <c r="V205" s="76"/>
    </row>
    <row r="206" spans="1:22" ht="12.75">
      <c r="A206" s="14" t="s">
        <v>212</v>
      </c>
      <c r="E206" s="197">
        <v>19521</v>
      </c>
      <c r="F206" s="200">
        <f>G206/E206-1</f>
        <v>0.019414988986220072</v>
      </c>
      <c r="G206" s="197">
        <v>19900</v>
      </c>
      <c r="H206" s="172"/>
      <c r="I206" s="287">
        <f>J206/G206-1</f>
        <v>0.016281407035175777</v>
      </c>
      <c r="J206" s="172">
        <f>19922+193+50+59</f>
        <v>20224</v>
      </c>
      <c r="K206" s="172"/>
      <c r="L206" s="275" t="s">
        <v>16</v>
      </c>
      <c r="M206" s="172">
        <f>+J206+450-120</f>
        <v>20554</v>
      </c>
      <c r="N206" s="76"/>
      <c r="O206" s="200">
        <v>0.03</v>
      </c>
      <c r="P206" s="76">
        <f>+M206*(1+O206)</f>
        <v>21170.62</v>
      </c>
      <c r="Q206" s="76"/>
      <c r="R206" s="200">
        <v>0.03</v>
      </c>
      <c r="S206" s="76">
        <f>+P206*(1+R206)</f>
        <v>21805.7386</v>
      </c>
      <c r="U206" s="200">
        <v>0.03</v>
      </c>
      <c r="V206" s="76">
        <f>+S206*(1+U206)</f>
        <v>22459.910758</v>
      </c>
    </row>
    <row r="207" spans="1:22" ht="12.75">
      <c r="A207" s="14" t="s">
        <v>343</v>
      </c>
      <c r="E207" s="197"/>
      <c r="F207" s="200"/>
      <c r="G207" s="197"/>
      <c r="H207" s="172"/>
      <c r="I207" s="287"/>
      <c r="J207" s="172"/>
      <c r="K207" s="172"/>
      <c r="L207" s="275"/>
      <c r="M207" s="172"/>
      <c r="N207" s="76"/>
      <c r="O207" s="200"/>
      <c r="P207" s="76"/>
      <c r="Q207" s="76"/>
      <c r="R207" s="200"/>
      <c r="S207" s="76"/>
      <c r="U207" s="200"/>
      <c r="V207" s="76"/>
    </row>
    <row r="208" spans="5:22" ht="12.75">
      <c r="E208" s="197"/>
      <c r="F208" s="200"/>
      <c r="G208" s="197"/>
      <c r="H208" s="172"/>
      <c r="I208" s="287"/>
      <c r="J208" s="172"/>
      <c r="K208" s="172"/>
      <c r="L208" s="275"/>
      <c r="M208" s="172"/>
      <c r="N208" s="76"/>
      <c r="O208" s="200"/>
      <c r="P208" s="76"/>
      <c r="Q208" s="76"/>
      <c r="R208" s="200"/>
      <c r="S208" s="76"/>
      <c r="U208" s="200"/>
      <c r="V208" s="76"/>
    </row>
    <row r="209" ht="12.75">
      <c r="Z209" s="14" t="s">
        <v>16</v>
      </c>
    </row>
    <row r="210" ht="12.75">
      <c r="A210" s="14" t="s">
        <v>322</v>
      </c>
    </row>
    <row r="211" ht="12.75">
      <c r="A211" s="14" t="s">
        <v>327</v>
      </c>
    </row>
    <row r="212" ht="13.5" thickBot="1"/>
    <row r="213" spans="1:13" ht="12.75">
      <c r="A213" s="262" t="s">
        <v>347</v>
      </c>
      <c r="B213" s="263"/>
      <c r="C213" s="263"/>
      <c r="D213" s="263"/>
      <c r="E213" s="263"/>
      <c r="F213" s="263"/>
      <c r="G213" s="264"/>
      <c r="H213" s="264"/>
      <c r="I213" s="296"/>
      <c r="J213" s="265"/>
      <c r="K213" s="264"/>
      <c r="L213" s="284"/>
      <c r="M213" s="266"/>
    </row>
    <row r="214" spans="1:13" ht="12.75">
      <c r="A214" s="267" t="s">
        <v>348</v>
      </c>
      <c r="B214" s="68" t="s">
        <v>349</v>
      </c>
      <c r="C214" s="68"/>
      <c r="D214" s="68"/>
      <c r="E214" s="68"/>
      <c r="F214" s="68"/>
      <c r="G214" s="66"/>
      <c r="H214" s="66"/>
      <c r="I214" s="292"/>
      <c r="J214" s="268"/>
      <c r="K214" s="66"/>
      <c r="L214" s="123"/>
      <c r="M214" s="269">
        <f>M64</f>
        <v>-703.0969200000109</v>
      </c>
    </row>
    <row r="215" spans="1:13" ht="12.75">
      <c r="A215" s="267"/>
      <c r="B215" s="68" t="s">
        <v>355</v>
      </c>
      <c r="C215" s="68"/>
      <c r="D215" s="68"/>
      <c r="E215" s="68"/>
      <c r="F215" s="68"/>
      <c r="G215" s="66"/>
      <c r="H215" s="66"/>
      <c r="I215" s="292"/>
      <c r="J215" s="268"/>
      <c r="K215" s="66"/>
      <c r="L215" s="123"/>
      <c r="M215" s="270">
        <f>SUM(M203+M206)*-1%</f>
        <v>-339.6945433</v>
      </c>
    </row>
    <row r="216" spans="1:13" ht="12.75">
      <c r="A216" s="267"/>
      <c r="B216" s="68" t="s">
        <v>16</v>
      </c>
      <c r="C216" s="68"/>
      <c r="D216" s="68"/>
      <c r="E216" s="68"/>
      <c r="F216" s="68"/>
      <c r="G216" s="66"/>
      <c r="H216" s="66"/>
      <c r="I216" s="292"/>
      <c r="J216" s="268"/>
      <c r="K216" s="66"/>
      <c r="L216" s="123"/>
      <c r="M216" s="270" t="s">
        <v>16</v>
      </c>
    </row>
    <row r="217" spans="1:13" ht="13.5" thickBot="1">
      <c r="A217" s="271"/>
      <c r="B217" s="64" t="s">
        <v>16</v>
      </c>
      <c r="C217" s="64"/>
      <c r="D217" s="64"/>
      <c r="E217" s="64"/>
      <c r="F217" s="64"/>
      <c r="G217" s="272"/>
      <c r="H217" s="272"/>
      <c r="I217" s="297"/>
      <c r="J217" s="273"/>
      <c r="K217" s="272"/>
      <c r="L217" s="285"/>
      <c r="M217" s="274" t="s">
        <v>16</v>
      </c>
    </row>
    <row r="218" spans="13:32" ht="12.75">
      <c r="M218" s="236"/>
      <c r="AF218" s="69">
        <v>38160</v>
      </c>
    </row>
    <row r="219" spans="1:32" ht="12.75">
      <c r="A219" s="14" t="s">
        <v>372</v>
      </c>
      <c r="B219" s="14">
        <v>13415</v>
      </c>
      <c r="C219" s="14" t="s">
        <v>381</v>
      </c>
      <c r="I219" s="63" t="s">
        <v>373</v>
      </c>
      <c r="J219" s="172">
        <v>20554</v>
      </c>
      <c r="K219" s="32" t="s">
        <v>381</v>
      </c>
      <c r="M219" s="172">
        <f>SUM(B219+J219)</f>
        <v>33969</v>
      </c>
      <c r="Z219" s="14" t="s">
        <v>381</v>
      </c>
      <c r="AB219" s="14" t="s">
        <v>398</v>
      </c>
      <c r="AD219" s="14" t="s">
        <v>394</v>
      </c>
      <c r="AF219" s="14" t="s">
        <v>391</v>
      </c>
    </row>
    <row r="220" spans="2:26" ht="12.75">
      <c r="B220" s="141">
        <v>3444.75</v>
      </c>
      <c r="C220" s="14" t="s">
        <v>382</v>
      </c>
      <c r="J220" s="172">
        <v>4210.25</v>
      </c>
      <c r="K220" s="32" t="s">
        <v>382</v>
      </c>
      <c r="M220" s="172">
        <f>SUM(B220+J220)</f>
        <v>7655</v>
      </c>
      <c r="Z220" s="14" t="s">
        <v>382</v>
      </c>
    </row>
    <row r="221" spans="2:32" ht="12.75">
      <c r="B221" s="141">
        <v>0</v>
      </c>
      <c r="J221" s="172">
        <v>0</v>
      </c>
      <c r="AB221" s="14" t="s">
        <v>392</v>
      </c>
      <c r="AD221" s="14">
        <f>2596426+1506268</f>
        <v>4102694</v>
      </c>
      <c r="AF221" s="14">
        <v>4102694</v>
      </c>
    </row>
    <row r="222" spans="2:32" ht="12.75">
      <c r="B222" s="141">
        <v>3067</v>
      </c>
      <c r="J222" s="141">
        <v>3604</v>
      </c>
      <c r="AB222" s="14" t="s">
        <v>317</v>
      </c>
      <c r="AD222" s="14">
        <v>93530</v>
      </c>
      <c r="AF222" s="301">
        <v>58768</v>
      </c>
    </row>
    <row r="223" spans="2:32" ht="12.75">
      <c r="B223" s="141">
        <v>597</v>
      </c>
      <c r="J223" s="203">
        <f>2507+75</f>
        <v>2582</v>
      </c>
      <c r="AB223" s="14" t="s">
        <v>393</v>
      </c>
      <c r="AD223" s="14">
        <v>50000</v>
      </c>
      <c r="AF223" s="14">
        <v>50000</v>
      </c>
    </row>
    <row r="224" spans="2:32" ht="12.75">
      <c r="B224" s="141">
        <v>1492</v>
      </c>
      <c r="I224" s="63" t="s">
        <v>385</v>
      </c>
      <c r="J224" s="172">
        <f>SUM(J219:J223)</f>
        <v>30950.25</v>
      </c>
      <c r="AB224" s="14" t="s">
        <v>140</v>
      </c>
      <c r="AD224" s="14">
        <v>158112</v>
      </c>
      <c r="AF224" s="14">
        <v>192874</v>
      </c>
    </row>
    <row r="225" spans="2:32" ht="12.75">
      <c r="B225" s="141">
        <v>4113</v>
      </c>
      <c r="AB225" s="14" t="s">
        <v>396</v>
      </c>
      <c r="AD225" s="14">
        <v>2464000</v>
      </c>
      <c r="AF225" s="14">
        <v>3174777</v>
      </c>
    </row>
    <row r="226" spans="2:32" ht="12.75">
      <c r="B226" s="141">
        <v>2734</v>
      </c>
      <c r="AB226" s="14" t="s">
        <v>141</v>
      </c>
      <c r="AD226" s="14">
        <v>20556111</v>
      </c>
      <c r="AF226" s="14">
        <v>20556111</v>
      </c>
    </row>
    <row r="227" spans="2:32" ht="12.75">
      <c r="B227" s="141">
        <v>400</v>
      </c>
      <c r="AB227" s="14" t="s">
        <v>397</v>
      </c>
      <c r="AD227" s="14">
        <v>3499319</v>
      </c>
      <c r="AF227" s="14">
        <f>5963319-AF225</f>
        <v>2788542</v>
      </c>
    </row>
    <row r="228" ht="12.75">
      <c r="B228" s="141">
        <v>750</v>
      </c>
    </row>
    <row r="229" ht="12.75">
      <c r="B229" s="141">
        <v>1200</v>
      </c>
    </row>
    <row r="230" ht="12.75">
      <c r="B230" s="141">
        <v>1000</v>
      </c>
    </row>
    <row r="231" ht="12.75">
      <c r="B231" s="203">
        <v>3468</v>
      </c>
    </row>
    <row r="232" spans="1:2" ht="12.75">
      <c r="A232" s="192" t="s">
        <v>384</v>
      </c>
      <c r="B232" s="141">
        <f>SUM(B219:B231)</f>
        <v>35680.75</v>
      </c>
    </row>
    <row r="233" ht="12.75">
      <c r="B233" s="141"/>
    </row>
    <row r="234" spans="1:32" ht="12.75">
      <c r="A234" s="14" t="s">
        <v>374</v>
      </c>
      <c r="B234" s="141">
        <f>AF22</f>
        <v>35278.08076</v>
      </c>
      <c r="J234" s="236">
        <f>AD21</f>
        <v>30620.38223999999</v>
      </c>
      <c r="AB234" s="14" t="s">
        <v>395</v>
      </c>
      <c r="AD234" s="14">
        <f>SUM(AD221:AD232)</f>
        <v>30923766</v>
      </c>
      <c r="AF234" s="14">
        <f>SUM(AF221:AF232)</f>
        <v>30923766</v>
      </c>
    </row>
    <row r="235" spans="1:10" ht="12.75">
      <c r="A235" s="14" t="s">
        <v>377</v>
      </c>
      <c r="B235" s="141">
        <f>SUM(B234-B232)</f>
        <v>-402.6692400000029</v>
      </c>
      <c r="J235" s="172">
        <f>SUM(J234-J224)</f>
        <v>-329.8677600000083</v>
      </c>
    </row>
    <row r="236" ht="12.75">
      <c r="B236" s="141"/>
    </row>
    <row r="237" ht="12.75">
      <c r="B237" s="141"/>
    </row>
    <row r="238" ht="12.75">
      <c r="B238" s="141"/>
    </row>
    <row r="241" spans="1:9" ht="12.75">
      <c r="A241" s="14" t="str">
        <f>AC17</f>
        <v>FY05 Avail</v>
      </c>
      <c r="B241" s="213">
        <f aca="true" t="shared" si="1" ref="A241:D244">AD17</f>
        <v>65898.46299999999</v>
      </c>
      <c r="C241" s="14" t="s">
        <v>16</v>
      </c>
      <c r="D241" s="14">
        <f t="shared" si="1"/>
        <v>0</v>
      </c>
      <c r="I241" s="63" t="s">
        <v>388</v>
      </c>
    </row>
    <row r="242" spans="1:4" ht="12.75">
      <c r="A242" s="14" t="str">
        <f t="shared" si="1"/>
        <v>debt excl</v>
      </c>
      <c r="B242" s="14">
        <f t="shared" si="1"/>
        <v>-2106</v>
      </c>
      <c r="C242" s="14" t="s">
        <v>16</v>
      </c>
      <c r="D242" s="14">
        <f t="shared" si="1"/>
        <v>0</v>
      </c>
    </row>
    <row r="243" spans="1:9" ht="12.75">
      <c r="A243" s="14" t="s">
        <v>16</v>
      </c>
      <c r="B243" s="213">
        <f t="shared" si="1"/>
        <v>63792.46299999999</v>
      </c>
      <c r="C243" s="14" t="s">
        <v>16</v>
      </c>
      <c r="D243" s="14">
        <f t="shared" si="1"/>
        <v>0</v>
      </c>
      <c r="I243" s="300" t="s">
        <v>389</v>
      </c>
    </row>
    <row r="244" spans="1:4" ht="12.75">
      <c r="A244" s="14" t="s">
        <v>16</v>
      </c>
      <c r="B244" s="14" t="s">
        <v>16</v>
      </c>
      <c r="C244" s="14" t="s">
        <v>16</v>
      </c>
      <c r="D244" s="14">
        <f t="shared" si="1"/>
        <v>0</v>
      </c>
    </row>
    <row r="245" spans="1:10" ht="12.75">
      <c r="A245" s="14">
        <f>AC21</f>
        <v>0.48</v>
      </c>
      <c r="B245" s="213">
        <f>AD21</f>
        <v>30620.38223999999</v>
      </c>
      <c r="C245" s="14" t="s">
        <v>16</v>
      </c>
      <c r="D245" s="14">
        <f>AF21</f>
        <v>0</v>
      </c>
      <c r="J245" s="32" t="s">
        <v>386</v>
      </c>
    </row>
    <row r="246" spans="1:10" ht="12.75">
      <c r="A246" s="14">
        <f>AC22</f>
        <v>0.52</v>
      </c>
      <c r="B246" s="213">
        <f>AD22</f>
        <v>33172.08076</v>
      </c>
      <c r="C246" s="14">
        <f>AE22</f>
        <v>2106</v>
      </c>
      <c r="D246" s="14">
        <f>AF22</f>
        <v>35278.08076</v>
      </c>
      <c r="I246" s="290">
        <f>SUM(B246:C246)</f>
        <v>35278.08076</v>
      </c>
      <c r="J246" s="32" t="s">
        <v>387</v>
      </c>
    </row>
  </sheetData>
  <printOptions/>
  <pageMargins left="0.75" right="0.75" top="1" bottom="1" header="0.5" footer="0.5"/>
  <pageSetup horizontalDpi="300" verticalDpi="300" orientation="portrait" scale="82" r:id="rId1"/>
  <rowBreaks count="3" manualBreakCount="3">
    <brk id="66" max="255" man="1"/>
    <brk id="133" max="33" man="1"/>
    <brk id="217" max="255" man="1"/>
  </rowBreaks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159"/>
  <sheetViews>
    <sheetView view="pageBreakPreview" zoomScale="60" workbookViewId="0" topLeftCell="A1">
      <pane xSplit="5" ySplit="5" topLeftCell="K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30" sqref="L30"/>
    </sheetView>
  </sheetViews>
  <sheetFormatPr defaultColWidth="9.140625" defaultRowHeight="12" customHeight="1"/>
  <cols>
    <col min="1" max="1" width="23.8515625" style="19" customWidth="1"/>
    <col min="2" max="2" width="20.421875" style="14" customWidth="1"/>
    <col min="3" max="3" width="14.421875" style="19" customWidth="1"/>
    <col min="4" max="4" width="15.7109375" style="19" customWidth="1"/>
    <col min="5" max="5" width="4.28125" style="19" customWidth="1"/>
    <col min="6" max="6" width="14.421875" style="19" customWidth="1"/>
    <col min="7" max="7" width="14.421875" style="19" bestFit="1" customWidth="1"/>
    <col min="8" max="10" width="13.7109375" style="19" customWidth="1"/>
    <col min="11" max="11" width="14.00390625" style="19" bestFit="1" customWidth="1"/>
    <col min="12" max="12" width="14.140625" style="19" customWidth="1"/>
    <col min="13" max="13" width="14.8515625" style="19" customWidth="1"/>
    <col min="14" max="14" width="11.28125" style="19" bestFit="1" customWidth="1"/>
    <col min="15" max="15" width="12.57421875" style="19" bestFit="1" customWidth="1"/>
    <col min="16" max="22" width="13.28125" style="19" bestFit="1" customWidth="1"/>
    <col min="23" max="23" width="7.7109375" style="19" bestFit="1" customWidth="1"/>
    <col min="24" max="31" width="13.28125" style="19" bestFit="1" customWidth="1"/>
    <col min="32" max="33" width="12.57421875" style="19" bestFit="1" customWidth="1"/>
    <col min="34" max="34" width="17.421875" style="14" bestFit="1" customWidth="1"/>
    <col min="35" max="35" width="13.140625" style="19" bestFit="1" customWidth="1"/>
    <col min="36" max="16384" width="9.140625" style="19" customWidth="1"/>
  </cols>
  <sheetData>
    <row r="1" spans="8:34" ht="12" customHeight="1">
      <c r="H1" s="19">
        <v>4766358350</v>
      </c>
      <c r="I1" s="19">
        <v>4986952850</v>
      </c>
      <c r="AH1" s="70">
        <v>37546</v>
      </c>
    </row>
    <row r="2" spans="1:33" ht="12" customHeight="1">
      <c r="A2" s="14" t="s">
        <v>213</v>
      </c>
      <c r="AB2" s="69"/>
      <c r="AC2" s="69"/>
      <c r="AD2" s="69"/>
      <c r="AE2" s="69"/>
      <c r="AF2" s="69"/>
      <c r="AG2" s="69"/>
    </row>
    <row r="3" spans="1:8" ht="12" customHeight="1">
      <c r="A3" s="71">
        <v>3836420900</v>
      </c>
      <c r="B3" s="62" t="s">
        <v>214</v>
      </c>
      <c r="F3" s="19" t="s">
        <v>215</v>
      </c>
      <c r="H3" s="19" t="s">
        <v>216</v>
      </c>
    </row>
    <row r="4" ht="12" customHeight="1">
      <c r="AH4" s="63" t="s">
        <v>217</v>
      </c>
    </row>
    <row r="5" spans="1:34" ht="12" customHeight="1" thickBot="1">
      <c r="A5" s="72"/>
      <c r="B5" s="64"/>
      <c r="C5" s="72"/>
      <c r="D5" s="72"/>
      <c r="E5" s="73"/>
      <c r="F5" s="65">
        <v>2002</v>
      </c>
      <c r="G5" s="65">
        <v>2003</v>
      </c>
      <c r="H5" s="65">
        <v>2004</v>
      </c>
      <c r="I5" s="65">
        <v>2005</v>
      </c>
      <c r="J5" s="65">
        <v>2006</v>
      </c>
      <c r="K5" s="65">
        <v>2007</v>
      </c>
      <c r="L5" s="65">
        <v>2008</v>
      </c>
      <c r="M5" s="65">
        <v>2009</v>
      </c>
      <c r="N5" s="65">
        <v>2010</v>
      </c>
      <c r="O5" s="65">
        <v>2011</v>
      </c>
      <c r="P5" s="65">
        <v>2012</v>
      </c>
      <c r="Q5" s="65">
        <v>2013</v>
      </c>
      <c r="R5" s="65">
        <v>2014</v>
      </c>
      <c r="S5" s="65">
        <v>2015</v>
      </c>
      <c r="T5" s="65">
        <v>2016</v>
      </c>
      <c r="U5" s="65">
        <v>2017</v>
      </c>
      <c r="V5" s="65">
        <v>2018</v>
      </c>
      <c r="W5" s="65"/>
      <c r="X5" s="74">
        <v>2019</v>
      </c>
      <c r="Y5" s="75">
        <v>2020</v>
      </c>
      <c r="Z5" s="75">
        <v>2021</v>
      </c>
      <c r="AA5" s="75">
        <v>2022</v>
      </c>
      <c r="AB5" s="75">
        <v>2023</v>
      </c>
      <c r="AC5" s="65">
        <v>2024</v>
      </c>
      <c r="AD5" s="65">
        <v>2025</v>
      </c>
      <c r="AE5" s="65">
        <v>2026</v>
      </c>
      <c r="AF5" s="65">
        <v>2027</v>
      </c>
      <c r="AG5" s="65">
        <v>2028</v>
      </c>
      <c r="AH5" s="65" t="s">
        <v>218</v>
      </c>
    </row>
    <row r="6" spans="1:24" ht="12" customHeight="1">
      <c r="A6" s="14" t="s">
        <v>219</v>
      </c>
      <c r="X6" s="14"/>
    </row>
    <row r="7" spans="1:34" ht="12" customHeight="1">
      <c r="A7" s="19" t="s">
        <v>220</v>
      </c>
      <c r="B7" s="14" t="s">
        <v>221</v>
      </c>
      <c r="D7" s="19" t="s">
        <v>222</v>
      </c>
      <c r="E7" s="29"/>
      <c r="F7" s="29">
        <v>1090000</v>
      </c>
      <c r="G7" s="29">
        <v>1090000</v>
      </c>
      <c r="H7" s="29">
        <v>1090000</v>
      </c>
      <c r="I7" s="29">
        <v>1090000</v>
      </c>
      <c r="J7" s="29">
        <v>1090000</v>
      </c>
      <c r="K7" s="29">
        <v>1090000</v>
      </c>
      <c r="L7" s="29">
        <v>1090000</v>
      </c>
      <c r="M7" s="29">
        <v>1090000</v>
      </c>
      <c r="N7" s="29">
        <v>1090000</v>
      </c>
      <c r="O7" s="29">
        <v>1090000</v>
      </c>
      <c r="P7" s="29">
        <v>1090000</v>
      </c>
      <c r="Q7" s="29">
        <v>1090000</v>
      </c>
      <c r="R7" s="29">
        <v>1090000</v>
      </c>
      <c r="S7" s="29">
        <v>1090000</v>
      </c>
      <c r="X7" s="76"/>
      <c r="AH7" s="76">
        <f aca="true" t="shared" si="0" ref="AH7:AH14">SUM(G7:AF7)</f>
        <v>14170000</v>
      </c>
    </row>
    <row r="8" spans="4:34" ht="12" customHeight="1">
      <c r="D8" s="19" t="s">
        <v>223</v>
      </c>
      <c r="E8" s="77"/>
      <c r="F8" s="29">
        <v>757845</v>
      </c>
      <c r="G8" s="29">
        <v>711520</v>
      </c>
      <c r="H8" s="50">
        <v>663833</v>
      </c>
      <c r="I8" s="29">
        <v>615873</v>
      </c>
      <c r="J8" s="77">
        <v>555923</v>
      </c>
      <c r="K8" s="77">
        <v>498698</v>
      </c>
      <c r="L8" s="77">
        <v>438748</v>
      </c>
      <c r="M8" s="77">
        <v>385610</v>
      </c>
      <c r="N8" s="77">
        <v>331110</v>
      </c>
      <c r="O8" s="77">
        <v>276610</v>
      </c>
      <c r="P8" s="77">
        <v>221010</v>
      </c>
      <c r="Q8" s="77">
        <v>164885</v>
      </c>
      <c r="R8" s="77">
        <v>108750</v>
      </c>
      <c r="S8" s="78">
        <v>54250</v>
      </c>
      <c r="T8" s="79"/>
      <c r="U8" s="79"/>
      <c r="V8" s="79"/>
      <c r="W8" s="79"/>
      <c r="X8" s="80"/>
      <c r="AH8" s="76">
        <f t="shared" si="0"/>
        <v>5026820</v>
      </c>
    </row>
    <row r="9" spans="1:41" ht="12" customHeight="1">
      <c r="A9" s="19" t="s">
        <v>220</v>
      </c>
      <c r="B9" s="14" t="s">
        <v>224</v>
      </c>
      <c r="D9" s="19" t="s">
        <v>222</v>
      </c>
      <c r="E9" s="29"/>
      <c r="F9" s="81"/>
      <c r="G9" s="29">
        <v>0</v>
      </c>
      <c r="H9" s="29">
        <f>245000-25000</f>
        <v>220000</v>
      </c>
      <c r="I9" s="29">
        <f>245000-25000</f>
        <v>220000</v>
      </c>
      <c r="J9" s="29">
        <v>220000</v>
      </c>
      <c r="K9" s="29">
        <v>220000</v>
      </c>
      <c r="L9" s="29">
        <v>220000</v>
      </c>
      <c r="M9" s="29">
        <v>220000</v>
      </c>
      <c r="N9" s="29">
        <v>220000</v>
      </c>
      <c r="O9" s="29">
        <v>220000</v>
      </c>
      <c r="P9" s="29">
        <v>220000</v>
      </c>
      <c r="Q9" s="29">
        <v>220000</v>
      </c>
      <c r="R9" s="29"/>
      <c r="S9" s="29"/>
      <c r="T9" s="29"/>
      <c r="U9" s="29"/>
      <c r="V9" s="77"/>
      <c r="X9" s="76"/>
      <c r="Y9" s="29"/>
      <c r="Z9" s="29"/>
      <c r="AA9" s="29"/>
      <c r="AB9" s="29"/>
      <c r="AC9" s="29"/>
      <c r="AD9" s="29"/>
      <c r="AE9" s="29"/>
      <c r="AF9" s="29"/>
      <c r="AG9" s="29"/>
      <c r="AH9" s="76">
        <f t="shared" si="0"/>
        <v>2200000</v>
      </c>
      <c r="AI9" s="29"/>
      <c r="AJ9" s="29"/>
      <c r="AK9" s="29"/>
      <c r="AL9" s="29"/>
      <c r="AM9" s="29"/>
      <c r="AN9" s="29"/>
      <c r="AO9" s="29"/>
    </row>
    <row r="10" spans="2:41" ht="12" customHeight="1">
      <c r="B10" s="14" t="s">
        <v>407</v>
      </c>
      <c r="C10" s="82"/>
      <c r="D10" s="19" t="s">
        <v>223</v>
      </c>
      <c r="E10" s="77"/>
      <c r="F10" s="81"/>
      <c r="G10" s="29">
        <v>0</v>
      </c>
      <c r="H10" s="29">
        <f>108700-1875</f>
        <v>106825</v>
      </c>
      <c r="I10" s="29">
        <f>63075-375</f>
        <v>62700</v>
      </c>
      <c r="J10" s="29">
        <v>56100</v>
      </c>
      <c r="K10" s="29">
        <v>49500</v>
      </c>
      <c r="L10" s="29">
        <v>42900</v>
      </c>
      <c r="M10" s="29">
        <v>36025</v>
      </c>
      <c r="N10" s="29">
        <v>28600</v>
      </c>
      <c r="O10" s="29">
        <v>20625</v>
      </c>
      <c r="P10" s="29">
        <v>12375</v>
      </c>
      <c r="Q10" s="29">
        <v>4125</v>
      </c>
      <c r="R10" s="29"/>
      <c r="S10" s="29"/>
      <c r="T10" s="29"/>
      <c r="U10" s="29"/>
      <c r="V10" s="83"/>
      <c r="W10" s="79"/>
      <c r="X10" s="80"/>
      <c r="Y10" s="29"/>
      <c r="Z10" s="29"/>
      <c r="AA10" s="29"/>
      <c r="AB10" s="29"/>
      <c r="AC10" s="29"/>
      <c r="AD10" s="29"/>
      <c r="AE10" s="29"/>
      <c r="AF10" s="29"/>
      <c r="AG10" s="29"/>
      <c r="AH10" s="76">
        <f t="shared" si="0"/>
        <v>419775</v>
      </c>
      <c r="AI10" s="29"/>
      <c r="AJ10" s="29"/>
      <c r="AK10" s="29"/>
      <c r="AL10" s="29"/>
      <c r="AM10" s="29"/>
      <c r="AN10" s="29"/>
      <c r="AO10" s="29"/>
    </row>
    <row r="11" spans="1:41" ht="12" customHeight="1">
      <c r="A11" s="19" t="s">
        <v>414</v>
      </c>
      <c r="B11" s="14" t="s">
        <v>413</v>
      </c>
      <c r="C11" s="82"/>
      <c r="E11" s="77"/>
      <c r="F11" s="81"/>
      <c r="G11" s="29">
        <v>25000</v>
      </c>
      <c r="H11" s="29">
        <v>25000</v>
      </c>
      <c r="I11" s="29">
        <v>25000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77"/>
      <c r="W11" s="78"/>
      <c r="X11" s="80"/>
      <c r="Y11" s="29"/>
      <c r="Z11" s="29"/>
      <c r="AA11" s="29"/>
      <c r="AB11" s="29"/>
      <c r="AC11" s="29"/>
      <c r="AD11" s="29"/>
      <c r="AE11" s="29"/>
      <c r="AF11" s="29"/>
      <c r="AG11" s="29"/>
      <c r="AH11" s="76"/>
      <c r="AI11" s="29"/>
      <c r="AJ11" s="29"/>
      <c r="AK11" s="29"/>
      <c r="AL11" s="29"/>
      <c r="AM11" s="29"/>
      <c r="AN11" s="29"/>
      <c r="AO11" s="29"/>
    </row>
    <row r="12" spans="3:41" ht="12" customHeight="1">
      <c r="C12" s="82"/>
      <c r="E12" s="77"/>
      <c r="F12" s="81"/>
      <c r="G12" s="29">
        <v>2130</v>
      </c>
      <c r="H12" s="29">
        <f>50000*3.75%</f>
        <v>1875</v>
      </c>
      <c r="I12" s="29">
        <v>375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77"/>
      <c r="W12" s="78"/>
      <c r="X12" s="80"/>
      <c r="Y12" s="29"/>
      <c r="Z12" s="29"/>
      <c r="AA12" s="29"/>
      <c r="AB12" s="29"/>
      <c r="AC12" s="29"/>
      <c r="AD12" s="29"/>
      <c r="AE12" s="29"/>
      <c r="AF12" s="29"/>
      <c r="AG12" s="29"/>
      <c r="AH12" s="76"/>
      <c r="AI12" s="29"/>
      <c r="AJ12" s="29"/>
      <c r="AK12" s="29"/>
      <c r="AL12" s="29"/>
      <c r="AM12" s="29"/>
      <c r="AN12" s="29"/>
      <c r="AO12" s="29"/>
    </row>
    <row r="13" spans="2:34" ht="12" customHeight="1">
      <c r="B13" s="14" t="s">
        <v>225</v>
      </c>
      <c r="D13" s="19" t="s">
        <v>222</v>
      </c>
      <c r="E13" s="77"/>
      <c r="F13" s="29">
        <v>170000</v>
      </c>
      <c r="G13" s="29">
        <v>165000</v>
      </c>
      <c r="H13" s="50">
        <v>165000</v>
      </c>
      <c r="I13" s="29" t="s">
        <v>16</v>
      </c>
      <c r="J13" s="77"/>
      <c r="K13" s="77"/>
      <c r="L13" s="77"/>
      <c r="M13" s="77"/>
      <c r="N13" s="77"/>
      <c r="O13" s="77"/>
      <c r="P13" s="77"/>
      <c r="Q13" s="77"/>
      <c r="R13" s="77"/>
      <c r="S13" s="78"/>
      <c r="T13" s="78"/>
      <c r="U13" s="78"/>
      <c r="V13" s="78"/>
      <c r="W13" s="78"/>
      <c r="X13" s="80"/>
      <c r="AH13" s="76">
        <f t="shared" si="0"/>
        <v>330000</v>
      </c>
    </row>
    <row r="14" spans="4:34" ht="12" customHeight="1">
      <c r="D14" s="19" t="s">
        <v>223</v>
      </c>
      <c r="E14" s="77"/>
      <c r="F14" s="29">
        <v>10519</v>
      </c>
      <c r="G14" s="84">
        <v>14204</v>
      </c>
      <c r="H14" s="50">
        <v>3506</v>
      </c>
      <c r="I14" s="29">
        <v>1800</v>
      </c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78"/>
      <c r="U14" s="78"/>
      <c r="V14" s="78"/>
      <c r="W14" s="78"/>
      <c r="X14" s="80"/>
      <c r="AH14" s="76">
        <f t="shared" si="0"/>
        <v>19510</v>
      </c>
    </row>
    <row r="15" spans="1:34" ht="12" customHeight="1" thickBot="1">
      <c r="A15" s="14" t="s">
        <v>226</v>
      </c>
      <c r="E15" s="77"/>
      <c r="F15" s="85">
        <f>SUM(F7:F14)</f>
        <v>2028364</v>
      </c>
      <c r="G15" s="85">
        <f aca="true" t="shared" si="1" ref="G15:N15">SUM(G7:G14)</f>
        <v>2007854</v>
      </c>
      <c r="H15" s="85">
        <f t="shared" si="1"/>
        <v>2276039</v>
      </c>
      <c r="I15" s="85">
        <f t="shared" si="1"/>
        <v>2015748</v>
      </c>
      <c r="J15" s="85">
        <f t="shared" si="1"/>
        <v>1922023</v>
      </c>
      <c r="K15" s="85">
        <f t="shared" si="1"/>
        <v>1858198</v>
      </c>
      <c r="L15" s="85">
        <f t="shared" si="1"/>
        <v>1791648</v>
      </c>
      <c r="M15" s="85">
        <f t="shared" si="1"/>
        <v>1731635</v>
      </c>
      <c r="N15" s="85">
        <f t="shared" si="1"/>
        <v>1669710</v>
      </c>
      <c r="O15" s="85">
        <f>SUM(O7:O14)</f>
        <v>1607235</v>
      </c>
      <c r="P15" s="85">
        <f>SUM(P7:P14)</f>
        <v>1543385</v>
      </c>
      <c r="Q15" s="85">
        <f>SUM(Q7:Q14)</f>
        <v>1479010</v>
      </c>
      <c r="R15" s="85">
        <f>SUM(R7:R14)</f>
        <v>1198750</v>
      </c>
      <c r="S15" s="85">
        <f>SUM(S7:S14)</f>
        <v>1144250</v>
      </c>
      <c r="T15" s="72"/>
      <c r="U15" s="72"/>
      <c r="V15" s="72"/>
      <c r="W15" s="86"/>
      <c r="X15" s="80"/>
      <c r="AH15" s="87">
        <f>SUM(AH7:AH14)</f>
        <v>22166105</v>
      </c>
    </row>
    <row r="16" spans="5:34" ht="12" customHeight="1">
      <c r="E16" s="78"/>
      <c r="X16" s="76"/>
      <c r="AH16" s="76"/>
    </row>
    <row r="17" spans="1:34" ht="12" customHeight="1">
      <c r="A17" s="14" t="s">
        <v>227</v>
      </c>
      <c r="X17" s="76"/>
      <c r="AH17" s="76"/>
    </row>
    <row r="18" spans="1:34" ht="12" customHeight="1">
      <c r="A18" s="14"/>
      <c r="B18" s="14" t="s">
        <v>602</v>
      </c>
      <c r="D18" s="19" t="s">
        <v>222</v>
      </c>
      <c r="K18" s="19">
        <v>45000</v>
      </c>
      <c r="L18" s="19">
        <v>45000</v>
      </c>
      <c r="M18" s="19">
        <v>45000</v>
      </c>
      <c r="N18" s="19">
        <v>45000</v>
      </c>
      <c r="O18" s="19">
        <v>40000</v>
      </c>
      <c r="P18" s="19">
        <v>40000</v>
      </c>
      <c r="Q18" s="19">
        <v>40000</v>
      </c>
      <c r="R18" s="19">
        <v>40000</v>
      </c>
      <c r="S18" s="19">
        <v>40000</v>
      </c>
      <c r="T18" s="19">
        <v>40000</v>
      </c>
      <c r="U18" s="19">
        <v>40000</v>
      </c>
      <c r="V18" s="19">
        <v>40000</v>
      </c>
      <c r="W18" s="19" t="s">
        <v>16</v>
      </c>
      <c r="X18" s="19">
        <v>40000</v>
      </c>
      <c r="Y18" s="19">
        <v>40000</v>
      </c>
      <c r="Z18" s="19">
        <v>40000</v>
      </c>
      <c r="AA18" s="19">
        <v>40000</v>
      </c>
      <c r="AB18" s="19">
        <v>40000</v>
      </c>
      <c r="AC18" s="19">
        <v>40000</v>
      </c>
      <c r="AD18" s="19">
        <v>40000</v>
      </c>
      <c r="AE18" s="19" t="s">
        <v>16</v>
      </c>
      <c r="AH18" s="76">
        <f aca="true" t="shared" si="2" ref="AH18:AH25">SUM(G18:AF18)</f>
        <v>780000</v>
      </c>
    </row>
    <row r="19" spans="1:34" ht="12" customHeight="1">
      <c r="A19" s="14"/>
      <c r="D19" s="19" t="s">
        <v>223</v>
      </c>
      <c r="K19" s="19">
        <v>33490</v>
      </c>
      <c r="L19" s="19">
        <v>30790</v>
      </c>
      <c r="M19" s="19">
        <v>28315</v>
      </c>
      <c r="N19" s="19">
        <v>26043</v>
      </c>
      <c r="O19" s="19">
        <v>24490</v>
      </c>
      <c r="P19" s="19">
        <v>22890</v>
      </c>
      <c r="Q19" s="19">
        <v>21290</v>
      </c>
      <c r="R19" s="19">
        <v>19690</v>
      </c>
      <c r="S19" s="19">
        <v>17690</v>
      </c>
      <c r="T19" s="19">
        <v>16090</v>
      </c>
      <c r="U19" s="19">
        <v>14450</v>
      </c>
      <c r="V19" s="19">
        <v>12850</v>
      </c>
      <c r="X19" s="76">
        <v>11250</v>
      </c>
      <c r="Y19" s="19">
        <v>9650</v>
      </c>
      <c r="Z19" s="19">
        <v>8050</v>
      </c>
      <c r="AA19" s="19">
        <v>6450</v>
      </c>
      <c r="AB19" s="19">
        <v>4850</v>
      </c>
      <c r="AC19" s="19">
        <v>3250</v>
      </c>
      <c r="AD19" s="19">
        <v>1650</v>
      </c>
      <c r="AH19" s="76">
        <f t="shared" si="2"/>
        <v>313228</v>
      </c>
    </row>
    <row r="20" spans="1:34" ht="12" customHeight="1">
      <c r="A20" s="14"/>
      <c r="B20" s="14" t="s">
        <v>502</v>
      </c>
      <c r="D20" s="19" t="s">
        <v>222</v>
      </c>
      <c r="K20" s="19">
        <v>0</v>
      </c>
      <c r="L20" s="19" t="s">
        <v>16</v>
      </c>
      <c r="M20" s="19" t="s">
        <v>16</v>
      </c>
      <c r="N20" s="19" t="s">
        <v>16</v>
      </c>
      <c r="O20" s="19" t="s">
        <v>16</v>
      </c>
      <c r="P20" s="19" t="s">
        <v>16</v>
      </c>
      <c r="Q20" s="19" t="s">
        <v>16</v>
      </c>
      <c r="R20" s="19" t="s">
        <v>16</v>
      </c>
      <c r="S20" s="19" t="s">
        <v>16</v>
      </c>
      <c r="T20" s="19" t="s">
        <v>16</v>
      </c>
      <c r="U20" s="19" t="s">
        <v>16</v>
      </c>
      <c r="X20" s="76"/>
      <c r="AH20" s="76">
        <f t="shared" si="2"/>
        <v>0</v>
      </c>
    </row>
    <row r="21" spans="1:34" ht="12" customHeight="1">
      <c r="A21" s="14"/>
      <c r="D21" s="19" t="s">
        <v>223</v>
      </c>
      <c r="K21" s="19">
        <v>30000</v>
      </c>
      <c r="L21" s="19">
        <v>30000</v>
      </c>
      <c r="M21" s="19">
        <v>30000</v>
      </c>
      <c r="X21" s="76"/>
      <c r="AH21" s="76">
        <f t="shared" si="2"/>
        <v>90000</v>
      </c>
    </row>
    <row r="22" spans="1:34" ht="12" customHeight="1">
      <c r="A22" s="14"/>
      <c r="B22" s="14" t="s">
        <v>603</v>
      </c>
      <c r="D22" s="19" t="s">
        <v>222</v>
      </c>
      <c r="K22" s="19">
        <v>40000</v>
      </c>
      <c r="L22" s="19">
        <v>40000</v>
      </c>
      <c r="M22" s="19">
        <v>35000</v>
      </c>
      <c r="N22" s="19">
        <v>35000</v>
      </c>
      <c r="O22" s="19">
        <v>35000</v>
      </c>
      <c r="X22" s="76"/>
      <c r="AH22" s="76">
        <f t="shared" si="2"/>
        <v>185000</v>
      </c>
    </row>
    <row r="23" spans="1:34" ht="12" customHeight="1">
      <c r="A23" s="14"/>
      <c r="D23" s="19" t="s">
        <v>223</v>
      </c>
      <c r="K23" s="19">
        <v>8975</v>
      </c>
      <c r="L23" s="19">
        <v>6575</v>
      </c>
      <c r="M23" s="19">
        <v>4375</v>
      </c>
      <c r="N23" s="19">
        <v>2885</v>
      </c>
      <c r="O23" s="19">
        <v>1400</v>
      </c>
      <c r="X23" s="76"/>
      <c r="AH23" s="76">
        <f t="shared" si="2"/>
        <v>24210</v>
      </c>
    </row>
    <row r="24" spans="1:34" ht="12" customHeight="1">
      <c r="A24" s="14"/>
      <c r="B24" s="14" t="s">
        <v>604</v>
      </c>
      <c r="D24" s="19" t="s">
        <v>222</v>
      </c>
      <c r="K24" s="432">
        <v>165000</v>
      </c>
      <c r="L24" s="432">
        <v>165000</v>
      </c>
      <c r="M24" s="432">
        <v>165000</v>
      </c>
      <c r="N24" s="432">
        <v>165000</v>
      </c>
      <c r="O24" s="432">
        <v>165000</v>
      </c>
      <c r="X24" s="76"/>
      <c r="AH24" s="76">
        <f t="shared" si="2"/>
        <v>825000</v>
      </c>
    </row>
    <row r="25" spans="4:41" ht="12" customHeight="1">
      <c r="D25" s="19" t="s">
        <v>223</v>
      </c>
      <c r="E25" s="29"/>
      <c r="F25" s="29"/>
      <c r="G25" s="29"/>
      <c r="H25" s="29"/>
      <c r="I25" s="29"/>
      <c r="J25" s="29"/>
      <c r="K25" s="433">
        <v>42500</v>
      </c>
      <c r="L25" s="433">
        <v>32000</v>
      </c>
      <c r="M25" s="433">
        <v>38000</v>
      </c>
      <c r="N25" s="433">
        <v>30000</v>
      </c>
      <c r="O25" s="433">
        <v>20000</v>
      </c>
      <c r="P25" s="29"/>
      <c r="Q25" s="29"/>
      <c r="R25" s="29"/>
      <c r="S25" s="29"/>
      <c r="T25" s="29"/>
      <c r="U25" s="29"/>
      <c r="V25" s="29"/>
      <c r="X25" s="76"/>
      <c r="Y25" s="29"/>
      <c r="Z25" s="29"/>
      <c r="AA25" s="29"/>
      <c r="AB25" s="29"/>
      <c r="AC25" s="29"/>
      <c r="AD25" s="29"/>
      <c r="AE25" s="29"/>
      <c r="AF25" s="29"/>
      <c r="AG25" s="29"/>
      <c r="AH25" s="76">
        <f t="shared" si="2"/>
        <v>162500</v>
      </c>
      <c r="AI25" s="29"/>
      <c r="AJ25" s="29"/>
      <c r="AK25" s="29"/>
      <c r="AL25" s="29"/>
      <c r="AM25" s="29"/>
      <c r="AN25" s="29"/>
      <c r="AO25" s="29"/>
    </row>
    <row r="26" spans="2:34" ht="12" customHeight="1">
      <c r="B26" s="14" t="s">
        <v>228</v>
      </c>
      <c r="D26" s="19" t="s">
        <v>222</v>
      </c>
      <c r="E26" s="29"/>
      <c r="F26" s="29">
        <v>200000</v>
      </c>
      <c r="G26" s="29">
        <v>200000</v>
      </c>
      <c r="H26" s="29">
        <v>200000</v>
      </c>
      <c r="I26" s="29">
        <v>200000</v>
      </c>
      <c r="J26" s="29">
        <v>200000</v>
      </c>
      <c r="K26" s="29">
        <v>200000</v>
      </c>
      <c r="L26" s="29">
        <v>200000</v>
      </c>
      <c r="M26" s="29">
        <v>200000</v>
      </c>
      <c r="N26" s="29">
        <v>200000</v>
      </c>
      <c r="O26" s="29"/>
      <c r="P26" s="29"/>
      <c r="Q26" s="29"/>
      <c r="X26" s="76"/>
      <c r="AH26" s="76">
        <f aca="true" t="shared" si="3" ref="AH26:AH34">SUM(G26:AF26)</f>
        <v>1600000</v>
      </c>
    </row>
    <row r="27" spans="2:34" ht="12" customHeight="1">
      <c r="B27" s="14" t="s">
        <v>16</v>
      </c>
      <c r="D27" s="19" t="s">
        <v>223</v>
      </c>
      <c r="E27" s="29"/>
      <c r="F27" s="29">
        <v>74900</v>
      </c>
      <c r="G27" s="29">
        <v>66450</v>
      </c>
      <c r="H27" s="29">
        <v>57950</v>
      </c>
      <c r="I27" s="29">
        <v>49400</v>
      </c>
      <c r="J27" s="29">
        <v>40700</v>
      </c>
      <c r="K27" s="29">
        <v>31800</v>
      </c>
      <c r="L27" s="29">
        <v>22800</v>
      </c>
      <c r="M27" s="29">
        <v>13750</v>
      </c>
      <c r="N27" s="29">
        <v>4600</v>
      </c>
      <c r="X27" s="76"/>
      <c r="AH27" s="76">
        <f t="shared" si="3"/>
        <v>287450</v>
      </c>
    </row>
    <row r="28" spans="2:34" ht="12" customHeight="1">
      <c r="B28" s="14" t="s">
        <v>621</v>
      </c>
      <c r="D28" s="19" t="s">
        <v>222</v>
      </c>
      <c r="E28" s="29"/>
      <c r="F28" s="29"/>
      <c r="G28" s="29"/>
      <c r="H28" s="29"/>
      <c r="I28" s="29"/>
      <c r="J28" s="29"/>
      <c r="K28" s="433">
        <v>60000</v>
      </c>
      <c r="L28" s="433">
        <v>60000</v>
      </c>
      <c r="M28" s="433">
        <v>60000</v>
      </c>
      <c r="N28" s="433">
        <v>60000</v>
      </c>
      <c r="O28" s="432">
        <v>60000</v>
      </c>
      <c r="X28" s="76"/>
      <c r="AH28" s="76"/>
    </row>
    <row r="29" spans="1:34" ht="12" customHeight="1">
      <c r="A29" s="36" t="s">
        <v>16</v>
      </c>
      <c r="B29" s="32" t="s">
        <v>622</v>
      </c>
      <c r="C29" s="36"/>
      <c r="D29" s="36" t="s">
        <v>223</v>
      </c>
      <c r="E29" s="36"/>
      <c r="F29" s="36"/>
      <c r="G29" s="36"/>
      <c r="H29" s="36"/>
      <c r="I29" s="36"/>
      <c r="J29" s="36"/>
      <c r="K29" s="433">
        <v>15750</v>
      </c>
      <c r="L29" s="432">
        <v>12000</v>
      </c>
      <c r="M29" s="432">
        <v>9000</v>
      </c>
      <c r="N29" s="432">
        <v>6000</v>
      </c>
      <c r="O29" s="432">
        <v>3000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172">
        <f t="shared" si="3"/>
        <v>45750</v>
      </c>
    </row>
    <row r="30" spans="1:41" ht="12" customHeight="1">
      <c r="A30" s="36"/>
      <c r="B30" s="32" t="s">
        <v>229</v>
      </c>
      <c r="C30" s="36"/>
      <c r="D30" s="36"/>
      <c r="E30" s="35"/>
      <c r="F30" s="35">
        <v>55322</v>
      </c>
      <c r="G30" s="35">
        <v>55322</v>
      </c>
      <c r="H30" s="35">
        <v>55322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172"/>
      <c r="Y30" s="35"/>
      <c r="Z30" s="35"/>
      <c r="AA30" s="35"/>
      <c r="AB30" s="35"/>
      <c r="AC30" s="35"/>
      <c r="AD30" s="35"/>
      <c r="AE30" s="35"/>
      <c r="AF30" s="35"/>
      <c r="AG30" s="35"/>
      <c r="AH30" s="172">
        <f t="shared" si="3"/>
        <v>110644</v>
      </c>
      <c r="AI30" s="29"/>
      <c r="AJ30" s="29"/>
      <c r="AK30" s="29"/>
      <c r="AL30" s="29"/>
      <c r="AM30" s="29"/>
      <c r="AN30" s="29"/>
      <c r="AO30" s="29"/>
    </row>
    <row r="31" spans="1:41" ht="12" customHeight="1">
      <c r="A31" s="36"/>
      <c r="B31" s="32" t="s">
        <v>230</v>
      </c>
      <c r="C31" s="36"/>
      <c r="D31" s="36"/>
      <c r="E31" s="35"/>
      <c r="F31" s="35">
        <v>114086</v>
      </c>
      <c r="G31" s="35">
        <v>114086</v>
      </c>
      <c r="H31" s="35">
        <v>114086</v>
      </c>
      <c r="I31" s="35">
        <v>114086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172"/>
      <c r="Y31" s="35"/>
      <c r="Z31" s="35"/>
      <c r="AA31" s="35"/>
      <c r="AB31" s="35"/>
      <c r="AC31" s="35"/>
      <c r="AD31" s="35"/>
      <c r="AE31" s="35"/>
      <c r="AF31" s="35"/>
      <c r="AG31" s="35"/>
      <c r="AH31" s="172">
        <f t="shared" si="3"/>
        <v>342258</v>
      </c>
      <c r="AI31" s="29"/>
      <c r="AJ31" s="29"/>
      <c r="AK31" s="29"/>
      <c r="AL31" s="29"/>
      <c r="AM31" s="29"/>
      <c r="AN31" s="29"/>
      <c r="AO31" s="29"/>
    </row>
    <row r="32" spans="1:41" ht="12" customHeight="1">
      <c r="A32" s="36"/>
      <c r="B32" s="32" t="s">
        <v>325</v>
      </c>
      <c r="C32" s="36"/>
      <c r="D32" s="36"/>
      <c r="E32" s="35"/>
      <c r="F32" s="35"/>
      <c r="G32" s="35"/>
      <c r="H32" s="35"/>
      <c r="I32" s="35">
        <v>65000</v>
      </c>
      <c r="J32" s="35">
        <v>65000</v>
      </c>
      <c r="K32" s="35">
        <v>65000</v>
      </c>
      <c r="L32" s="35">
        <v>65000</v>
      </c>
      <c r="M32" s="35">
        <v>65000</v>
      </c>
      <c r="N32" s="35">
        <v>65000</v>
      </c>
      <c r="O32" s="35">
        <v>65000</v>
      </c>
      <c r="P32" s="35">
        <v>65000</v>
      </c>
      <c r="Q32" s="35">
        <v>65000</v>
      </c>
      <c r="R32" s="35">
        <v>65000</v>
      </c>
      <c r="S32" s="35"/>
      <c r="T32" s="35"/>
      <c r="U32" s="35"/>
      <c r="V32" s="35"/>
      <c r="W32" s="36"/>
      <c r="X32" s="172"/>
      <c r="Y32" s="35"/>
      <c r="Z32" s="35"/>
      <c r="AA32" s="35"/>
      <c r="AB32" s="35"/>
      <c r="AC32" s="35"/>
      <c r="AD32" s="35"/>
      <c r="AE32" s="35"/>
      <c r="AF32" s="35"/>
      <c r="AG32" s="35"/>
      <c r="AH32" s="172">
        <f t="shared" si="3"/>
        <v>650000</v>
      </c>
      <c r="AI32" s="29"/>
      <c r="AJ32" s="29"/>
      <c r="AK32" s="29"/>
      <c r="AL32" s="29"/>
      <c r="AM32" s="29"/>
      <c r="AN32" s="29"/>
      <c r="AO32" s="29"/>
    </row>
    <row r="33" spans="1:41" ht="12" customHeight="1">
      <c r="A33" s="36"/>
      <c r="B33" s="32" t="s">
        <v>646</v>
      </c>
      <c r="C33" s="36"/>
      <c r="D33" s="36"/>
      <c r="E33" s="35"/>
      <c r="F33" s="35"/>
      <c r="G33" s="35"/>
      <c r="H33" s="35"/>
      <c r="I33" s="35"/>
      <c r="J33" s="35"/>
      <c r="K33" s="35">
        <v>13750</v>
      </c>
      <c r="L33" s="35">
        <v>13750</v>
      </c>
      <c r="M33" s="35">
        <v>13750</v>
      </c>
      <c r="N33" s="35">
        <v>13750</v>
      </c>
      <c r="O33" s="35">
        <v>13750</v>
      </c>
      <c r="P33" s="35"/>
      <c r="Q33" s="35"/>
      <c r="R33" s="35"/>
      <c r="S33" s="35"/>
      <c r="T33" s="35"/>
      <c r="U33" s="35"/>
      <c r="V33" s="35"/>
      <c r="W33" s="36"/>
      <c r="X33" s="172"/>
      <c r="Y33" s="35"/>
      <c r="Z33" s="35"/>
      <c r="AA33" s="35"/>
      <c r="AB33" s="35"/>
      <c r="AC33" s="35"/>
      <c r="AD33" s="35"/>
      <c r="AE33" s="35"/>
      <c r="AF33" s="35"/>
      <c r="AG33" s="35"/>
      <c r="AH33" s="172"/>
      <c r="AI33" s="29"/>
      <c r="AJ33" s="29"/>
      <c r="AK33" s="29"/>
      <c r="AL33" s="29"/>
      <c r="AM33" s="29"/>
      <c r="AN33" s="29"/>
      <c r="AO33" s="29"/>
    </row>
    <row r="34" spans="1:41" ht="12" customHeight="1">
      <c r="A34" s="36"/>
      <c r="B34" s="32" t="s">
        <v>231</v>
      </c>
      <c r="C34" s="36"/>
      <c r="D34" s="36"/>
      <c r="E34" s="35"/>
      <c r="F34" s="35">
        <v>5556</v>
      </c>
      <c r="G34" s="35">
        <v>5556</v>
      </c>
      <c r="H34" s="35">
        <v>3170</v>
      </c>
      <c r="I34" s="35">
        <v>3170</v>
      </c>
      <c r="J34" s="35">
        <v>3170</v>
      </c>
      <c r="K34" s="35">
        <v>3170</v>
      </c>
      <c r="L34" s="35">
        <v>3170</v>
      </c>
      <c r="M34" s="35">
        <v>3170</v>
      </c>
      <c r="N34" s="35">
        <v>3170</v>
      </c>
      <c r="O34" s="35">
        <v>3191</v>
      </c>
      <c r="P34" s="35">
        <v>3191</v>
      </c>
      <c r="Q34" s="35">
        <v>3191</v>
      </c>
      <c r="R34" s="35">
        <v>3191</v>
      </c>
      <c r="S34" s="35">
        <v>3191</v>
      </c>
      <c r="T34" s="35">
        <v>3134</v>
      </c>
      <c r="U34" s="35">
        <v>3134</v>
      </c>
      <c r="V34" s="35">
        <v>3134</v>
      </c>
      <c r="W34" s="36"/>
      <c r="X34" s="35">
        <v>3134</v>
      </c>
      <c r="Y34" s="35">
        <v>3134</v>
      </c>
      <c r="Z34" s="35"/>
      <c r="AA34" s="35"/>
      <c r="AB34" s="35"/>
      <c r="AC34" s="35"/>
      <c r="AD34" s="35"/>
      <c r="AE34" s="35"/>
      <c r="AF34" s="35"/>
      <c r="AG34" s="35"/>
      <c r="AH34" s="172">
        <f t="shared" si="3"/>
        <v>59371</v>
      </c>
      <c r="AI34" s="29"/>
      <c r="AJ34" s="29"/>
      <c r="AK34" s="29"/>
      <c r="AL34" s="29"/>
      <c r="AM34" s="29"/>
      <c r="AN34" s="29"/>
      <c r="AO34" s="29"/>
    </row>
    <row r="35" spans="1:34" s="78" customFormat="1" ht="12" customHeight="1">
      <c r="A35" s="68" t="s">
        <v>399</v>
      </c>
      <c r="B35" s="88" t="s">
        <v>232</v>
      </c>
      <c r="C35" s="68"/>
      <c r="D35" s="78" t="s">
        <v>222</v>
      </c>
      <c r="F35" s="89"/>
      <c r="G35" s="90"/>
      <c r="H35" s="90">
        <v>600000</v>
      </c>
      <c r="I35" s="90">
        <v>600000</v>
      </c>
      <c r="J35" s="90">
        <v>600000</v>
      </c>
      <c r="K35" s="90">
        <f aca="true" t="shared" si="4" ref="K35:V35">J35</f>
        <v>600000</v>
      </c>
      <c r="L35" s="90">
        <f t="shared" si="4"/>
        <v>600000</v>
      </c>
      <c r="M35" s="90">
        <f t="shared" si="4"/>
        <v>600000</v>
      </c>
      <c r="N35" s="90">
        <f t="shared" si="4"/>
        <v>600000</v>
      </c>
      <c r="O35" s="90">
        <f t="shared" si="4"/>
        <v>600000</v>
      </c>
      <c r="P35" s="90">
        <f t="shared" si="4"/>
        <v>600000</v>
      </c>
      <c r="Q35" s="90">
        <f t="shared" si="4"/>
        <v>600000</v>
      </c>
      <c r="R35" s="90">
        <v>595000</v>
      </c>
      <c r="S35" s="90">
        <v>595000</v>
      </c>
      <c r="T35" s="90">
        <f t="shared" si="4"/>
        <v>595000</v>
      </c>
      <c r="U35" s="90">
        <f t="shared" si="4"/>
        <v>595000</v>
      </c>
      <c r="V35" s="90">
        <f t="shared" si="4"/>
        <v>595000</v>
      </c>
      <c r="X35" s="90">
        <f>V35</f>
        <v>595000</v>
      </c>
      <c r="Y35" s="90">
        <f>X35</f>
        <v>595000</v>
      </c>
      <c r="Z35" s="90">
        <f>Y35</f>
        <v>595000</v>
      </c>
      <c r="AA35" s="90">
        <f>Z35</f>
        <v>595000</v>
      </c>
      <c r="AB35" s="90">
        <f>AA35</f>
        <v>595000</v>
      </c>
      <c r="AC35" s="90"/>
      <c r="AD35" s="90"/>
      <c r="AE35" s="90"/>
      <c r="AF35" s="90"/>
      <c r="AG35" s="90"/>
      <c r="AH35" s="76">
        <f aca="true" t="shared" si="5" ref="AH35:AH46">SUM(G35:AF35)</f>
        <v>11950000</v>
      </c>
    </row>
    <row r="36" spans="1:34" s="77" customFormat="1" ht="12" customHeight="1">
      <c r="A36" s="80"/>
      <c r="B36" s="91">
        <v>11800000</v>
      </c>
      <c r="C36" s="80" t="s">
        <v>16</v>
      </c>
      <c r="D36" s="77" t="s">
        <v>223</v>
      </c>
      <c r="G36" s="90"/>
      <c r="H36" s="90">
        <v>681915</v>
      </c>
      <c r="I36" s="90">
        <v>431610</v>
      </c>
      <c r="J36" s="90">
        <v>413610</v>
      </c>
      <c r="K36" s="90">
        <v>395610</v>
      </c>
      <c r="L36" s="90">
        <v>377610</v>
      </c>
      <c r="M36" s="90">
        <v>358860</v>
      </c>
      <c r="N36" s="90">
        <v>338610</v>
      </c>
      <c r="O36" s="90">
        <v>316860</v>
      </c>
      <c r="P36" s="90">
        <v>294360</v>
      </c>
      <c r="Q36" s="90">
        <v>271860</v>
      </c>
      <c r="R36" s="90">
        <v>247966.25</v>
      </c>
      <c r="S36" s="90">
        <v>223422.5</v>
      </c>
      <c r="T36" s="90">
        <v>199325</v>
      </c>
      <c r="U36" s="90">
        <v>174632.5</v>
      </c>
      <c r="V36" s="90">
        <v>149345</v>
      </c>
      <c r="X36" s="90">
        <v>123462.5</v>
      </c>
      <c r="Y36" s="90">
        <v>96985</v>
      </c>
      <c r="Z36" s="90">
        <v>69912.5</v>
      </c>
      <c r="AA36" s="90">
        <v>42245</v>
      </c>
      <c r="AB36" s="90">
        <v>14131.25</v>
      </c>
      <c r="AC36" s="90"/>
      <c r="AD36" s="90"/>
      <c r="AE36" s="90"/>
      <c r="AF36" s="90"/>
      <c r="AG36" s="90"/>
      <c r="AH36" s="76">
        <f t="shared" si="5"/>
        <v>5222332.5</v>
      </c>
    </row>
    <row r="37" spans="1:34" s="77" customFormat="1" ht="12" customHeight="1">
      <c r="A37" s="80" t="s">
        <v>399</v>
      </c>
      <c r="B37" s="91" t="s">
        <v>400</v>
      </c>
      <c r="C37" s="80"/>
      <c r="D37" s="77" t="s">
        <v>222</v>
      </c>
      <c r="G37" s="90"/>
      <c r="H37" s="90" t="s">
        <v>16</v>
      </c>
      <c r="I37" s="90">
        <v>500000</v>
      </c>
      <c r="J37" s="90">
        <v>500000</v>
      </c>
      <c r="K37" s="90">
        <v>500000</v>
      </c>
      <c r="L37" s="90">
        <v>500000</v>
      </c>
      <c r="M37" s="90">
        <v>500000</v>
      </c>
      <c r="N37" s="90">
        <v>500000</v>
      </c>
      <c r="O37" s="90">
        <v>500000</v>
      </c>
      <c r="P37" s="90">
        <v>500000</v>
      </c>
      <c r="Q37" s="90">
        <v>500000</v>
      </c>
      <c r="R37" s="90">
        <v>500000</v>
      </c>
      <c r="S37" s="90">
        <v>500000</v>
      </c>
      <c r="T37" s="90">
        <v>500000</v>
      </c>
      <c r="U37" s="90">
        <v>500000</v>
      </c>
      <c r="V37" s="90">
        <v>500000</v>
      </c>
      <c r="X37" s="90">
        <v>500000</v>
      </c>
      <c r="Y37" s="90">
        <v>500000</v>
      </c>
      <c r="Z37" s="90">
        <v>500000</v>
      </c>
      <c r="AA37" s="90">
        <v>500000</v>
      </c>
      <c r="AB37" s="90">
        <v>500000</v>
      </c>
      <c r="AC37" s="90">
        <v>500000</v>
      </c>
      <c r="AD37" s="90"/>
      <c r="AE37" s="90"/>
      <c r="AF37" s="90"/>
      <c r="AG37" s="90"/>
      <c r="AH37" s="76">
        <f t="shared" si="5"/>
        <v>10000000</v>
      </c>
    </row>
    <row r="38" spans="1:34" s="77" customFormat="1" ht="12" customHeight="1">
      <c r="A38" s="80"/>
      <c r="B38" s="91">
        <v>10000000</v>
      </c>
      <c r="C38" s="80"/>
      <c r="D38" s="77" t="s">
        <v>223</v>
      </c>
      <c r="G38" s="90"/>
      <c r="H38" s="90" t="s">
        <v>16</v>
      </c>
      <c r="I38" s="90">
        <v>406750</v>
      </c>
      <c r="J38" s="90">
        <v>391750</v>
      </c>
      <c r="K38" s="90">
        <v>376750</v>
      </c>
      <c r="L38" s="90">
        <v>361750</v>
      </c>
      <c r="M38" s="90">
        <v>345500</v>
      </c>
      <c r="N38" s="90">
        <v>328000</v>
      </c>
      <c r="O38" s="90">
        <v>310500</v>
      </c>
      <c r="P38" s="90">
        <v>291750</v>
      </c>
      <c r="Q38" s="90">
        <v>271750</v>
      </c>
      <c r="R38" s="90">
        <v>251750</v>
      </c>
      <c r="S38" s="90">
        <v>226750</v>
      </c>
      <c r="T38" s="90">
        <v>206250</v>
      </c>
      <c r="U38" s="90">
        <v>185250</v>
      </c>
      <c r="V38" s="90">
        <v>164000</v>
      </c>
      <c r="W38" s="90" t="s">
        <v>16</v>
      </c>
      <c r="X38" s="90">
        <v>142500</v>
      </c>
      <c r="Y38" s="90">
        <v>120500</v>
      </c>
      <c r="Z38" s="90">
        <v>98000</v>
      </c>
      <c r="AA38" s="90">
        <v>75000</v>
      </c>
      <c r="AB38" s="90">
        <v>50000</v>
      </c>
      <c r="AC38" s="90">
        <v>25000</v>
      </c>
      <c r="AD38" s="90"/>
      <c r="AE38" s="90"/>
      <c r="AF38" s="90"/>
      <c r="AG38" s="90"/>
      <c r="AH38" s="76">
        <f t="shared" si="5"/>
        <v>4629500</v>
      </c>
    </row>
    <row r="39" spans="1:34" s="77" customFormat="1" ht="12" customHeight="1">
      <c r="A39" s="80" t="s">
        <v>399</v>
      </c>
      <c r="B39" s="91" t="s">
        <v>601</v>
      </c>
      <c r="C39" s="80"/>
      <c r="D39" s="77" t="s">
        <v>222</v>
      </c>
      <c r="G39" s="90"/>
      <c r="H39" s="90"/>
      <c r="I39" s="90"/>
      <c r="J39" s="90"/>
      <c r="K39" s="90">
        <v>105000</v>
      </c>
      <c r="L39" s="90">
        <v>105000</v>
      </c>
      <c r="M39" s="90">
        <v>105000</v>
      </c>
      <c r="N39" s="90">
        <v>105000</v>
      </c>
      <c r="O39" s="90">
        <v>105000</v>
      </c>
      <c r="P39" s="90">
        <v>105000</v>
      </c>
      <c r="Q39" s="90">
        <v>100000</v>
      </c>
      <c r="R39" s="90">
        <v>100000</v>
      </c>
      <c r="S39" s="90">
        <v>100000</v>
      </c>
      <c r="T39" s="90">
        <v>100000</v>
      </c>
      <c r="U39" s="90">
        <v>100000</v>
      </c>
      <c r="V39" s="90">
        <v>100000</v>
      </c>
      <c r="W39" s="90">
        <v>0</v>
      </c>
      <c r="X39" s="90">
        <v>100000</v>
      </c>
      <c r="Y39" s="90">
        <v>100000</v>
      </c>
      <c r="Z39" s="90">
        <v>100000</v>
      </c>
      <c r="AA39" s="90">
        <v>100000</v>
      </c>
      <c r="AB39" s="90">
        <v>100000</v>
      </c>
      <c r="AC39" s="90">
        <v>100000</v>
      </c>
      <c r="AD39" s="90">
        <v>100000</v>
      </c>
      <c r="AE39" s="90">
        <v>100000</v>
      </c>
      <c r="AF39" s="90"/>
      <c r="AG39" s="90"/>
      <c r="AH39" s="76">
        <f t="shared" si="5"/>
        <v>2030000</v>
      </c>
    </row>
    <row r="40" spans="1:34" s="77" customFormat="1" ht="12" customHeight="1">
      <c r="A40" s="80"/>
      <c r="B40" s="91"/>
      <c r="C40" s="80"/>
      <c r="D40" s="77" t="s">
        <v>223</v>
      </c>
      <c r="G40" s="90"/>
      <c r="H40" s="90"/>
      <c r="I40" s="90"/>
      <c r="J40" s="90"/>
      <c r="K40" s="90">
        <v>86825</v>
      </c>
      <c r="L40" s="90">
        <v>80525</v>
      </c>
      <c r="M40" s="90">
        <v>74750</v>
      </c>
      <c r="N40" s="90">
        <v>70288</v>
      </c>
      <c r="O40" s="90">
        <v>65825</v>
      </c>
      <c r="P40" s="90">
        <v>61625</v>
      </c>
      <c r="Q40" s="90">
        <v>57425</v>
      </c>
      <c r="R40" s="90">
        <v>53425</v>
      </c>
      <c r="S40" s="90">
        <v>48425</v>
      </c>
      <c r="T40" s="90">
        <v>44425</v>
      </c>
      <c r="U40" s="90">
        <v>40325</v>
      </c>
      <c r="V40" s="90">
        <v>36325</v>
      </c>
      <c r="W40" s="90"/>
      <c r="X40" s="90">
        <v>32325</v>
      </c>
      <c r="Y40" s="90">
        <v>28325</v>
      </c>
      <c r="Z40" s="90">
        <v>24325</v>
      </c>
      <c r="AA40" s="90">
        <v>20325</v>
      </c>
      <c r="AB40" s="90">
        <v>16325</v>
      </c>
      <c r="AC40" s="90">
        <v>12325</v>
      </c>
      <c r="AD40" s="90">
        <v>8325</v>
      </c>
      <c r="AE40" s="90">
        <v>4200</v>
      </c>
      <c r="AF40" s="90"/>
      <c r="AG40" s="90"/>
      <c r="AH40" s="76">
        <f t="shared" si="5"/>
        <v>866663</v>
      </c>
    </row>
    <row r="41" spans="1:34" s="77" customFormat="1" ht="12" customHeight="1">
      <c r="A41" s="80" t="s">
        <v>563</v>
      </c>
      <c r="B41" s="91" t="s">
        <v>605</v>
      </c>
      <c r="C41" s="80"/>
      <c r="D41" s="77" t="s">
        <v>222</v>
      </c>
      <c r="G41" s="90"/>
      <c r="H41" s="90"/>
      <c r="I41" s="90"/>
      <c r="J41" s="90"/>
      <c r="K41" s="434">
        <v>148000</v>
      </c>
      <c r="L41" s="434">
        <v>285000</v>
      </c>
      <c r="M41" s="434">
        <v>580380</v>
      </c>
      <c r="N41" s="434">
        <v>565480</v>
      </c>
      <c r="O41" s="434">
        <v>550580</v>
      </c>
      <c r="P41" s="434">
        <v>535680</v>
      </c>
      <c r="Q41" s="434"/>
      <c r="R41" s="434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76"/>
    </row>
    <row r="42" spans="1:34" s="77" customFormat="1" ht="12" customHeight="1">
      <c r="A42" s="80"/>
      <c r="B42" s="91"/>
      <c r="C42" s="80"/>
      <c r="D42" s="77" t="s">
        <v>223</v>
      </c>
      <c r="G42" s="90"/>
      <c r="H42" s="90"/>
      <c r="I42" s="90"/>
      <c r="J42" s="90"/>
      <c r="K42" s="434">
        <v>0</v>
      </c>
      <c r="L42" s="434">
        <v>285000</v>
      </c>
      <c r="M42" s="434"/>
      <c r="N42" s="434"/>
      <c r="O42" s="434"/>
      <c r="P42" s="434"/>
      <c r="Q42" s="434"/>
      <c r="R42" s="434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76"/>
    </row>
    <row r="43" spans="1:34" s="77" customFormat="1" ht="12" customHeight="1">
      <c r="A43" s="80"/>
      <c r="B43" s="91" t="s">
        <v>401</v>
      </c>
      <c r="C43" s="80"/>
      <c r="D43" s="77" t="s">
        <v>222</v>
      </c>
      <c r="G43" s="90"/>
      <c r="H43" s="90"/>
      <c r="I43" s="90">
        <v>16000</v>
      </c>
      <c r="J43" s="90">
        <v>15000</v>
      </c>
      <c r="K43" s="90">
        <v>15000</v>
      </c>
      <c r="L43" s="90">
        <v>15000</v>
      </c>
      <c r="M43" s="90">
        <v>15000</v>
      </c>
      <c r="N43" s="90">
        <v>10000</v>
      </c>
      <c r="O43" s="90">
        <v>10000</v>
      </c>
      <c r="P43" s="90">
        <v>10000</v>
      </c>
      <c r="Q43" s="90">
        <v>10000</v>
      </c>
      <c r="R43" s="90">
        <v>10000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76">
        <f t="shared" si="5"/>
        <v>126000</v>
      </c>
    </row>
    <row r="44" spans="1:34" s="77" customFormat="1" ht="12" customHeight="1">
      <c r="A44" s="80"/>
      <c r="B44" s="91">
        <v>126000</v>
      </c>
      <c r="C44" s="80"/>
      <c r="D44" s="77" t="s">
        <v>223</v>
      </c>
      <c r="G44" s="90"/>
      <c r="H44" s="90"/>
      <c r="I44" s="90">
        <f>2208.75+2208.75</f>
        <v>4417.5</v>
      </c>
      <c r="J44" s="90">
        <f>1968.75+1968.75</f>
        <v>3937.5</v>
      </c>
      <c r="K44" s="90">
        <f>1743.75+1743.75</f>
        <v>3487.5</v>
      </c>
      <c r="L44" s="90">
        <f>1518.75+1518.75</f>
        <v>3037.5</v>
      </c>
      <c r="M44" s="90">
        <f>1275+1275</f>
        <v>2550</v>
      </c>
      <c r="N44" s="90">
        <f>1012.5+1012.5</f>
        <v>2025</v>
      </c>
      <c r="O44" s="90">
        <f>837.5+837.5</f>
        <v>1675</v>
      </c>
      <c r="P44" s="90">
        <f>650+650</f>
        <v>1300</v>
      </c>
      <c r="Q44" s="90">
        <f>450+450</f>
        <v>900</v>
      </c>
      <c r="R44" s="90">
        <f>250+250</f>
        <v>500</v>
      </c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76">
        <f t="shared" si="5"/>
        <v>23830</v>
      </c>
    </row>
    <row r="45" spans="2:41" ht="12" customHeight="1">
      <c r="B45" s="14" t="s">
        <v>233</v>
      </c>
      <c r="C45" s="14"/>
      <c r="D45" s="19" t="s">
        <v>222</v>
      </c>
      <c r="E45" s="29"/>
      <c r="F45" s="29">
        <v>372000</v>
      </c>
      <c r="G45" s="29">
        <v>370000</v>
      </c>
      <c r="H45" s="29">
        <v>355000</v>
      </c>
      <c r="I45" s="29">
        <v>290000</v>
      </c>
      <c r="J45" s="29">
        <v>170000</v>
      </c>
      <c r="K45" s="29">
        <v>200000</v>
      </c>
      <c r="L45" s="29">
        <v>200000</v>
      </c>
      <c r="M45" s="29">
        <v>200000</v>
      </c>
      <c r="N45" s="29">
        <v>200000</v>
      </c>
      <c r="O45" s="29">
        <v>200000</v>
      </c>
      <c r="P45" s="29"/>
      <c r="Q45" s="29"/>
      <c r="R45" s="29"/>
      <c r="S45" s="29"/>
      <c r="T45" s="29"/>
      <c r="U45" s="29"/>
      <c r="V45" s="29"/>
      <c r="X45" s="76"/>
      <c r="Y45" s="29"/>
      <c r="Z45" s="29"/>
      <c r="AA45" s="29"/>
      <c r="AB45" s="29"/>
      <c r="AC45" s="29"/>
      <c r="AD45" s="29"/>
      <c r="AE45" s="29"/>
      <c r="AF45" s="29"/>
      <c r="AG45" s="29"/>
      <c r="AH45" s="76">
        <f t="shared" si="5"/>
        <v>2185000</v>
      </c>
      <c r="AI45" s="29"/>
      <c r="AJ45" s="29"/>
      <c r="AK45" s="29"/>
      <c r="AL45" s="29"/>
      <c r="AM45" s="29"/>
      <c r="AN45" s="29"/>
      <c r="AO45" s="29"/>
    </row>
    <row r="46" spans="4:41" ht="12" customHeight="1">
      <c r="D46" s="19" t="s">
        <v>223</v>
      </c>
      <c r="E46" s="29"/>
      <c r="F46" s="29">
        <v>111251</v>
      </c>
      <c r="G46" s="29">
        <v>84815</v>
      </c>
      <c r="H46" s="29">
        <v>72794</v>
      </c>
      <c r="I46" s="29">
        <v>57515</v>
      </c>
      <c r="J46" s="29">
        <v>49340</v>
      </c>
      <c r="K46" s="29">
        <v>41100</v>
      </c>
      <c r="L46" s="29">
        <v>32100</v>
      </c>
      <c r="M46" s="29">
        <v>23050</v>
      </c>
      <c r="N46" s="29">
        <v>13900</v>
      </c>
      <c r="O46" s="29">
        <v>4650</v>
      </c>
      <c r="P46" s="29"/>
      <c r="Q46" s="29"/>
      <c r="R46" s="29"/>
      <c r="S46" s="29"/>
      <c r="T46" s="29"/>
      <c r="U46" s="29"/>
      <c r="V46" s="29"/>
      <c r="X46" s="76"/>
      <c r="Y46" s="29"/>
      <c r="Z46" s="29"/>
      <c r="AA46" s="29"/>
      <c r="AB46" s="29"/>
      <c r="AC46" s="29"/>
      <c r="AD46" s="29"/>
      <c r="AE46" s="29"/>
      <c r="AF46" s="29"/>
      <c r="AG46" s="29"/>
      <c r="AH46" s="76">
        <f t="shared" si="5"/>
        <v>379264</v>
      </c>
      <c r="AI46" s="29"/>
      <c r="AJ46" s="29"/>
      <c r="AK46" s="29"/>
      <c r="AL46" s="29"/>
      <c r="AM46" s="29"/>
      <c r="AN46" s="29"/>
      <c r="AO46" s="29"/>
    </row>
    <row r="47" spans="1:41" ht="12" customHeight="1" thickBot="1">
      <c r="A47" s="14" t="s">
        <v>234</v>
      </c>
      <c r="E47" s="77"/>
      <c r="F47" s="85">
        <f>SUM(F26:F46)</f>
        <v>933115</v>
      </c>
      <c r="G47" s="85">
        <f>SUM(G26:G46)</f>
        <v>896229</v>
      </c>
      <c r="H47" s="85">
        <f>SUM(H26:H46)</f>
        <v>2140237</v>
      </c>
      <c r="I47" s="85">
        <f>SUM(I26:I46)</f>
        <v>2737948.5</v>
      </c>
      <c r="J47" s="85">
        <f>SUM(J26:J46)</f>
        <v>2452507.5</v>
      </c>
      <c r="K47" s="85">
        <f>SUM(K18:K46)</f>
        <v>3226207.5</v>
      </c>
      <c r="L47" s="85">
        <f aca="true" t="shared" si="6" ref="L47:AG47">SUM(L18:L46)</f>
        <v>3571107.5</v>
      </c>
      <c r="M47" s="85">
        <f t="shared" si="6"/>
        <v>3515450</v>
      </c>
      <c r="N47" s="85">
        <f t="shared" si="6"/>
        <v>3389751</v>
      </c>
      <c r="O47" s="85">
        <f t="shared" si="6"/>
        <v>3095921</v>
      </c>
      <c r="P47" s="85">
        <f t="shared" si="6"/>
        <v>2530796</v>
      </c>
      <c r="Q47" s="85">
        <f t="shared" si="6"/>
        <v>1941416</v>
      </c>
      <c r="R47" s="85">
        <f t="shared" si="6"/>
        <v>1886522.25</v>
      </c>
      <c r="S47" s="85">
        <f t="shared" si="6"/>
        <v>1754478.5</v>
      </c>
      <c r="T47" s="85">
        <f t="shared" si="6"/>
        <v>1704224</v>
      </c>
      <c r="U47" s="85">
        <f t="shared" si="6"/>
        <v>1652791.5</v>
      </c>
      <c r="V47" s="85">
        <f t="shared" si="6"/>
        <v>1600654</v>
      </c>
      <c r="W47" s="85">
        <f t="shared" si="6"/>
        <v>0</v>
      </c>
      <c r="X47" s="85">
        <f t="shared" si="6"/>
        <v>1547671.5</v>
      </c>
      <c r="Y47" s="85">
        <f t="shared" si="6"/>
        <v>1493594</v>
      </c>
      <c r="Z47" s="85">
        <f t="shared" si="6"/>
        <v>1435287.5</v>
      </c>
      <c r="AA47" s="85">
        <f t="shared" si="6"/>
        <v>1379020</v>
      </c>
      <c r="AB47" s="85">
        <f t="shared" si="6"/>
        <v>1320306.25</v>
      </c>
      <c r="AC47" s="85">
        <f t="shared" si="6"/>
        <v>680575</v>
      </c>
      <c r="AD47" s="85">
        <f t="shared" si="6"/>
        <v>149975</v>
      </c>
      <c r="AE47" s="85">
        <f t="shared" si="6"/>
        <v>104200</v>
      </c>
      <c r="AF47" s="85">
        <f t="shared" si="6"/>
        <v>0</v>
      </c>
      <c r="AG47" s="85">
        <f t="shared" si="6"/>
        <v>0</v>
      </c>
      <c r="AH47" s="87">
        <f>SUM(AH26:AH46)</f>
        <v>40508062.5</v>
      </c>
      <c r="AI47" s="29"/>
      <c r="AJ47" s="29"/>
      <c r="AK47" s="29"/>
      <c r="AL47" s="29"/>
      <c r="AM47" s="29"/>
      <c r="AN47" s="29"/>
      <c r="AO47" s="29"/>
    </row>
    <row r="48" spans="1:41" ht="12" customHeight="1">
      <c r="A48" s="14" t="s">
        <v>235</v>
      </c>
      <c r="E48" s="77"/>
      <c r="F48" s="92">
        <f aca="true" t="shared" si="7" ref="F48:V48">SUM(F15+F47)</f>
        <v>2961479</v>
      </c>
      <c r="G48" s="92">
        <f t="shared" si="7"/>
        <v>2904083</v>
      </c>
      <c r="H48" s="92">
        <f t="shared" si="7"/>
        <v>4416276</v>
      </c>
      <c r="I48" s="92">
        <f t="shared" si="7"/>
        <v>4753696.5</v>
      </c>
      <c r="J48" s="92">
        <f t="shared" si="7"/>
        <v>4374530.5</v>
      </c>
      <c r="K48" s="92">
        <f t="shared" si="7"/>
        <v>5084405.5</v>
      </c>
      <c r="L48" s="92">
        <f t="shared" si="7"/>
        <v>5362755.5</v>
      </c>
      <c r="M48" s="92">
        <f t="shared" si="7"/>
        <v>5247085</v>
      </c>
      <c r="N48" s="92">
        <f t="shared" si="7"/>
        <v>5059461</v>
      </c>
      <c r="O48" s="92">
        <f t="shared" si="7"/>
        <v>4703156</v>
      </c>
      <c r="P48" s="92">
        <f t="shared" si="7"/>
        <v>4074181</v>
      </c>
      <c r="Q48" s="92">
        <f t="shared" si="7"/>
        <v>3420426</v>
      </c>
      <c r="R48" s="92">
        <f t="shared" si="7"/>
        <v>3085272.25</v>
      </c>
      <c r="S48" s="92">
        <f t="shared" si="7"/>
        <v>2898728.5</v>
      </c>
      <c r="T48" s="92">
        <f t="shared" si="7"/>
        <v>1704224</v>
      </c>
      <c r="U48" s="92">
        <f t="shared" si="7"/>
        <v>1652791.5</v>
      </c>
      <c r="V48" s="92">
        <f t="shared" si="7"/>
        <v>1600654</v>
      </c>
      <c r="X48" s="92">
        <f aca="true" t="shared" si="8" ref="X48:AC48">SUM(X15+X47)</f>
        <v>1547671.5</v>
      </c>
      <c r="Y48" s="92">
        <f t="shared" si="8"/>
        <v>1493594</v>
      </c>
      <c r="Z48" s="92">
        <f t="shared" si="8"/>
        <v>1435287.5</v>
      </c>
      <c r="AA48" s="92">
        <f t="shared" si="8"/>
        <v>1379020</v>
      </c>
      <c r="AB48" s="92">
        <f t="shared" si="8"/>
        <v>1320306.25</v>
      </c>
      <c r="AC48" s="92">
        <f t="shared" si="8"/>
        <v>680575</v>
      </c>
      <c r="AD48" s="29"/>
      <c r="AE48" s="29"/>
      <c r="AF48" s="29"/>
      <c r="AG48" s="29"/>
      <c r="AH48" s="93">
        <f>SUM(AH15+AH47)</f>
        <v>62674167.5</v>
      </c>
      <c r="AI48" s="29"/>
      <c r="AJ48" s="29"/>
      <c r="AK48" s="29"/>
      <c r="AL48" s="29"/>
      <c r="AM48" s="29"/>
      <c r="AN48" s="29"/>
      <c r="AO48" s="29"/>
    </row>
    <row r="49" spans="1:34" ht="12" customHeight="1" thickBot="1">
      <c r="A49" s="14" t="s">
        <v>236</v>
      </c>
      <c r="E49" s="94"/>
      <c r="F49" s="95">
        <f>+F48/(+$A$3/1000)</f>
        <v>0.7719379800063126</v>
      </c>
      <c r="G49" s="95">
        <f>+G48/(+$A$3/1000)</f>
        <v>0.7569771606655568</v>
      </c>
      <c r="H49" s="95">
        <f>+H48/(+$H$1/1000)</f>
        <v>0.926551399560631</v>
      </c>
      <c r="I49" s="95">
        <f aca="true" t="shared" si="9" ref="I49:N49">+I48/(+$I$1/1000)</f>
        <v>0.9532266782911333</v>
      </c>
      <c r="J49" s="95">
        <f t="shared" si="9"/>
        <v>0.8771950791554005</v>
      </c>
      <c r="K49" s="95">
        <f t="shared" si="9"/>
        <v>1.019541522234364</v>
      </c>
      <c r="L49" s="95">
        <f t="shared" si="9"/>
        <v>1.0753571692581774</v>
      </c>
      <c r="M49" s="95">
        <f t="shared" si="9"/>
        <v>1.052162544508517</v>
      </c>
      <c r="N49" s="95">
        <f t="shared" si="9"/>
        <v>1.0145395699901194</v>
      </c>
      <c r="O49" s="95">
        <f aca="true" t="shared" si="10" ref="O49:U49">+O48/(+$I$1/1000)</f>
        <v>0.9430921329043647</v>
      </c>
      <c r="P49" s="95">
        <f t="shared" si="10"/>
        <v>0.8169680208626797</v>
      </c>
      <c r="Q49" s="95">
        <f t="shared" si="10"/>
        <v>0.6858749426516034</v>
      </c>
      <c r="R49" s="95">
        <f t="shared" si="10"/>
        <v>0.6186688229867664</v>
      </c>
      <c r="S49" s="95">
        <f t="shared" si="10"/>
        <v>0.5812624637106806</v>
      </c>
      <c r="T49" s="95">
        <f t="shared" si="10"/>
        <v>0.34173653757323974</v>
      </c>
      <c r="U49" s="95">
        <f t="shared" si="10"/>
        <v>0.3314231254462332</v>
      </c>
      <c r="V49" s="95">
        <f>+V48/(+$A$3/1000)</f>
        <v>0.4172258575694862</v>
      </c>
      <c r="W49" s="72"/>
      <c r="X49" s="95">
        <f aca="true" t="shared" si="11" ref="X49:AF49">+X48/(+$A$3/1000)</f>
        <v>0.4034154594455473</v>
      </c>
      <c r="Y49" s="95">
        <f t="shared" si="11"/>
        <v>0.3893196390416912</v>
      </c>
      <c r="Z49" s="95">
        <f t="shared" si="11"/>
        <v>0.37412148912023707</v>
      </c>
      <c r="AA49" s="95">
        <f t="shared" si="11"/>
        <v>0.35945482415654656</v>
      </c>
      <c r="AB49" s="95">
        <f t="shared" si="11"/>
        <v>0.34415052060632867</v>
      </c>
      <c r="AC49" s="95">
        <f t="shared" si="11"/>
        <v>0.17739841840607218</v>
      </c>
      <c r="AD49" s="95">
        <f t="shared" si="11"/>
        <v>0</v>
      </c>
      <c r="AE49" s="95">
        <f t="shared" si="11"/>
        <v>0</v>
      </c>
      <c r="AF49" s="95">
        <f t="shared" si="11"/>
        <v>0</v>
      </c>
      <c r="AH49" s="96">
        <f>AVERAGE(B49:N49)</f>
        <v>0.9386099004078015</v>
      </c>
    </row>
    <row r="50" spans="5:24" ht="12" customHeight="1">
      <c r="E50" s="78"/>
      <c r="X50" s="14"/>
    </row>
    <row r="51" spans="1:24" ht="12" customHeight="1">
      <c r="A51" s="14" t="s">
        <v>237</v>
      </c>
      <c r="E51" s="78"/>
      <c r="X51" s="14"/>
    </row>
    <row r="52" spans="2:34" ht="12" customHeight="1">
      <c r="B52" s="14" t="s">
        <v>238</v>
      </c>
      <c r="E52" s="29"/>
      <c r="F52" s="29">
        <v>1099786</v>
      </c>
      <c r="G52" s="29">
        <v>1099786</v>
      </c>
      <c r="H52" s="29">
        <v>1088788</v>
      </c>
      <c r="I52" s="29">
        <v>1099786</v>
      </c>
      <c r="J52" s="29">
        <v>1099786</v>
      </c>
      <c r="K52" s="29">
        <v>1099786</v>
      </c>
      <c r="L52" s="29">
        <v>700000</v>
      </c>
      <c r="M52" s="29">
        <v>700000</v>
      </c>
      <c r="N52" s="29">
        <v>700000</v>
      </c>
      <c r="O52" s="29">
        <v>700000</v>
      </c>
      <c r="P52" s="29">
        <v>700000</v>
      </c>
      <c r="Q52" s="29">
        <v>700000</v>
      </c>
      <c r="R52" s="29">
        <v>700000</v>
      </c>
      <c r="S52" s="29" t="s">
        <v>16</v>
      </c>
      <c r="X52" s="76"/>
      <c r="AH52" s="76">
        <f aca="true" t="shared" si="12" ref="AH52:AH60">SUM(G52:AF52)</f>
        <v>10387932</v>
      </c>
    </row>
    <row r="53" spans="2:34" ht="12" customHeight="1">
      <c r="B53" s="14" t="s">
        <v>239</v>
      </c>
      <c r="E53" s="77"/>
      <c r="F53" s="29">
        <v>55322</v>
      </c>
      <c r="G53" s="29">
        <v>55322</v>
      </c>
      <c r="H53" s="29">
        <v>55322</v>
      </c>
      <c r="X53" s="76"/>
      <c r="AH53" s="76">
        <f t="shared" si="12"/>
        <v>110644</v>
      </c>
    </row>
    <row r="54" spans="2:34" ht="12" customHeight="1">
      <c r="B54" s="14" t="s">
        <v>326</v>
      </c>
      <c r="E54" s="77"/>
      <c r="F54" s="29"/>
      <c r="G54" s="29"/>
      <c r="H54" s="29"/>
      <c r="I54" s="29">
        <v>65000</v>
      </c>
      <c r="J54" s="19">
        <v>65000</v>
      </c>
      <c r="K54" s="19">
        <v>65000</v>
      </c>
      <c r="L54" s="29">
        <v>65000</v>
      </c>
      <c r="M54" s="29">
        <v>65000</v>
      </c>
      <c r="N54" s="29">
        <v>65000</v>
      </c>
      <c r="O54" s="29">
        <v>65000</v>
      </c>
      <c r="P54" s="29">
        <v>65000</v>
      </c>
      <c r="Q54" s="29">
        <v>65000</v>
      </c>
      <c r="R54" s="29">
        <v>65000</v>
      </c>
      <c r="T54" s="78"/>
      <c r="U54" s="78"/>
      <c r="V54" s="78"/>
      <c r="W54" s="78"/>
      <c r="X54" s="80"/>
      <c r="AH54" s="76">
        <f>SUM(G54:AF54)</f>
        <v>650000</v>
      </c>
    </row>
    <row r="55" spans="2:34" ht="12" customHeight="1">
      <c r="B55" s="14" t="s">
        <v>240</v>
      </c>
      <c r="E55" s="77"/>
      <c r="F55" s="29">
        <v>114086</v>
      </c>
      <c r="G55" s="29">
        <v>114086</v>
      </c>
      <c r="H55" s="29">
        <v>114086</v>
      </c>
      <c r="I55" s="29">
        <v>114086</v>
      </c>
      <c r="T55" s="79"/>
      <c r="U55" s="79"/>
      <c r="V55" s="79"/>
      <c r="W55" s="79"/>
      <c r="X55" s="80"/>
      <c r="AH55" s="76">
        <f t="shared" si="12"/>
        <v>342258</v>
      </c>
    </row>
    <row r="56" spans="2:34" ht="12" customHeight="1">
      <c r="B56" s="14" t="s">
        <v>561</v>
      </c>
      <c r="E56" s="77"/>
      <c r="F56" s="29"/>
      <c r="G56" s="29"/>
      <c r="H56" s="29"/>
      <c r="I56" s="29"/>
      <c r="K56" s="19">
        <v>13750</v>
      </c>
      <c r="L56" s="29">
        <v>13750</v>
      </c>
      <c r="M56" s="29">
        <v>13750</v>
      </c>
      <c r="N56" s="29">
        <v>13750</v>
      </c>
      <c r="O56" s="29">
        <v>13750</v>
      </c>
      <c r="P56" s="29"/>
      <c r="Q56" s="29"/>
      <c r="R56" s="29"/>
      <c r="T56" s="78"/>
      <c r="U56" s="78"/>
      <c r="V56" s="78"/>
      <c r="W56" s="78"/>
      <c r="X56" s="80"/>
      <c r="AH56" s="76"/>
    </row>
    <row r="57" spans="2:34" ht="12" customHeight="1">
      <c r="B57" s="14" t="s">
        <v>647</v>
      </c>
      <c r="D57" s="19" t="s">
        <v>648</v>
      </c>
      <c r="E57" s="77"/>
      <c r="F57" s="29"/>
      <c r="G57" s="29"/>
      <c r="H57" s="29"/>
      <c r="I57" s="29"/>
      <c r="K57" s="29">
        <f aca="true" t="shared" si="13" ref="K57:P58">K28</f>
        <v>60000</v>
      </c>
      <c r="L57" s="29">
        <f t="shared" si="13"/>
        <v>60000</v>
      </c>
      <c r="M57" s="29">
        <f t="shared" si="13"/>
        <v>60000</v>
      </c>
      <c r="N57" s="29">
        <f t="shared" si="13"/>
        <v>60000</v>
      </c>
      <c r="O57" s="29">
        <f t="shared" si="13"/>
        <v>60000</v>
      </c>
      <c r="P57" s="29">
        <f t="shared" si="13"/>
        <v>0</v>
      </c>
      <c r="Q57" s="29"/>
      <c r="R57" s="29"/>
      <c r="T57" s="78"/>
      <c r="U57" s="78"/>
      <c r="V57" s="78"/>
      <c r="W57" s="78"/>
      <c r="X57" s="80"/>
      <c r="AH57" s="76"/>
    </row>
    <row r="58" spans="4:34" ht="12" customHeight="1">
      <c r="D58" s="19" t="s">
        <v>223</v>
      </c>
      <c r="E58" s="77"/>
      <c r="F58" s="29"/>
      <c r="G58" s="29"/>
      <c r="H58" s="29"/>
      <c r="I58" s="29"/>
      <c r="K58" s="29">
        <f t="shared" si="13"/>
        <v>15750</v>
      </c>
      <c r="L58" s="29">
        <f t="shared" si="13"/>
        <v>12000</v>
      </c>
      <c r="M58" s="29">
        <f t="shared" si="13"/>
        <v>9000</v>
      </c>
      <c r="N58" s="29">
        <f t="shared" si="13"/>
        <v>6000</v>
      </c>
      <c r="O58" s="29">
        <f t="shared" si="13"/>
        <v>3000</v>
      </c>
      <c r="P58" s="29">
        <f t="shared" si="13"/>
        <v>0</v>
      </c>
      <c r="Q58" s="29"/>
      <c r="R58" s="29"/>
      <c r="T58" s="78"/>
      <c r="U58" s="78"/>
      <c r="V58" s="78"/>
      <c r="W58" s="78"/>
      <c r="X58" s="80"/>
      <c r="AH58" s="76"/>
    </row>
    <row r="59" spans="2:34" ht="12" customHeight="1">
      <c r="B59" s="14" t="s">
        <v>228</v>
      </c>
      <c r="D59" s="19" t="s">
        <v>222</v>
      </c>
      <c r="E59" s="29"/>
      <c r="F59" s="29">
        <v>200000</v>
      </c>
      <c r="G59" s="29">
        <v>200000</v>
      </c>
      <c r="H59" s="29">
        <v>200000</v>
      </c>
      <c r="I59" s="29">
        <v>200000</v>
      </c>
      <c r="J59" s="29">
        <v>200000</v>
      </c>
      <c r="K59" s="29">
        <v>200000</v>
      </c>
      <c r="L59" s="29">
        <v>200000</v>
      </c>
      <c r="M59" s="29">
        <v>200000</v>
      </c>
      <c r="N59" s="29">
        <v>200000</v>
      </c>
      <c r="O59" s="29"/>
      <c r="P59" s="29"/>
      <c r="Q59" s="29"/>
      <c r="X59" s="76"/>
      <c r="AH59" s="76">
        <f t="shared" si="12"/>
        <v>1600000</v>
      </c>
    </row>
    <row r="60" spans="2:34" ht="12" customHeight="1">
      <c r="B60" s="14" t="s">
        <v>16</v>
      </c>
      <c r="D60" s="19" t="s">
        <v>223</v>
      </c>
      <c r="E60" s="29"/>
      <c r="F60" s="29">
        <v>74900</v>
      </c>
      <c r="G60" s="29">
        <v>66450</v>
      </c>
      <c r="H60" s="29">
        <v>57950</v>
      </c>
      <c r="I60" s="29">
        <v>49400</v>
      </c>
      <c r="J60" s="29">
        <v>40700</v>
      </c>
      <c r="K60" s="29">
        <v>31800</v>
      </c>
      <c r="L60" s="29">
        <v>22800</v>
      </c>
      <c r="M60" s="29">
        <v>13750</v>
      </c>
      <c r="N60" s="29">
        <v>4600</v>
      </c>
      <c r="X60" s="76"/>
      <c r="AH60" s="76">
        <f t="shared" si="12"/>
        <v>287450</v>
      </c>
    </row>
    <row r="61" spans="1:34" ht="12" customHeight="1">
      <c r="A61" s="14" t="s">
        <v>241</v>
      </c>
      <c r="E61" s="77"/>
      <c r="F61" s="92">
        <f>SUM(F52:F60)</f>
        <v>1544094</v>
      </c>
      <c r="G61" s="92">
        <f aca="true" t="shared" si="14" ref="G61:AH61">SUM(G52:G60)</f>
        <v>1535644</v>
      </c>
      <c r="H61" s="92">
        <f t="shared" si="14"/>
        <v>1516146</v>
      </c>
      <c r="I61" s="92">
        <f t="shared" si="14"/>
        <v>1528272</v>
      </c>
      <c r="J61" s="92">
        <f t="shared" si="14"/>
        <v>1405486</v>
      </c>
      <c r="K61" s="92">
        <f>SUM(K52:K60)</f>
        <v>1486086</v>
      </c>
      <c r="L61" s="92">
        <f>SUM(L52:L60)</f>
        <v>1073550</v>
      </c>
      <c r="M61" s="92">
        <f t="shared" si="14"/>
        <v>1061500</v>
      </c>
      <c r="N61" s="92">
        <f t="shared" si="14"/>
        <v>1049350</v>
      </c>
      <c r="O61" s="92">
        <f t="shared" si="14"/>
        <v>841750</v>
      </c>
      <c r="P61" s="92">
        <f t="shared" si="14"/>
        <v>765000</v>
      </c>
      <c r="Q61" s="92">
        <f t="shared" si="14"/>
        <v>765000</v>
      </c>
      <c r="R61" s="92">
        <f t="shared" si="14"/>
        <v>765000</v>
      </c>
      <c r="S61" s="92">
        <f t="shared" si="14"/>
        <v>0</v>
      </c>
      <c r="T61" s="92">
        <f t="shared" si="14"/>
        <v>0</v>
      </c>
      <c r="U61" s="92">
        <f t="shared" si="14"/>
        <v>0</v>
      </c>
      <c r="V61" s="92">
        <f t="shared" si="14"/>
        <v>0</v>
      </c>
      <c r="W61" s="92">
        <f t="shared" si="14"/>
        <v>0</v>
      </c>
      <c r="X61" s="92">
        <f t="shared" si="14"/>
        <v>0</v>
      </c>
      <c r="Y61" s="92">
        <f t="shared" si="14"/>
        <v>0</v>
      </c>
      <c r="Z61" s="92">
        <f t="shared" si="14"/>
        <v>0</v>
      </c>
      <c r="AA61" s="92">
        <f t="shared" si="14"/>
        <v>0</v>
      </c>
      <c r="AB61" s="92">
        <f t="shared" si="14"/>
        <v>0</v>
      </c>
      <c r="AC61" s="92">
        <f t="shared" si="14"/>
        <v>0</v>
      </c>
      <c r="AD61" s="92">
        <f t="shared" si="14"/>
        <v>0</v>
      </c>
      <c r="AE61" s="92">
        <f t="shared" si="14"/>
        <v>0</v>
      </c>
      <c r="AF61" s="92">
        <f t="shared" si="14"/>
        <v>0</v>
      </c>
      <c r="AG61" s="92">
        <f t="shared" si="14"/>
        <v>0</v>
      </c>
      <c r="AH61" s="93">
        <f t="shared" si="14"/>
        <v>13378284</v>
      </c>
    </row>
    <row r="62" spans="1:34" ht="12" customHeight="1" thickBot="1">
      <c r="A62" s="14" t="s">
        <v>242</v>
      </c>
      <c r="E62" s="94"/>
      <c r="F62" s="95">
        <f aca="true" t="shared" si="15" ref="F62:S62">+F61/(+$A$3/1000)</f>
        <v>0.40248294966800957</v>
      </c>
      <c r="G62" s="95">
        <f t="shared" si="15"/>
        <v>0.4002803759097444</v>
      </c>
      <c r="H62" s="95">
        <f>+H61/(+$H$1/1000)</f>
        <v>0.3180931622566734</v>
      </c>
      <c r="I62" s="95">
        <f>+I61/(+$I$1/1000)</f>
        <v>0.3064540704450414</v>
      </c>
      <c r="J62" s="95">
        <f>+J61/(+$I$1/1000)</f>
        <v>0.2818326225001305</v>
      </c>
      <c r="K62" s="95">
        <f>+K61/(+$I$1/1000)</f>
        <v>0.2979947965619928</v>
      </c>
      <c r="L62" s="95">
        <f>+L61/(+$I$1/1000)</f>
        <v>0.21527173652744683</v>
      </c>
      <c r="M62" s="95">
        <f>+M61/(+$I$1/1000)</f>
        <v>0.21285543134822302</v>
      </c>
      <c r="N62" s="95">
        <f t="shared" si="15"/>
        <v>0.2735231684302418</v>
      </c>
      <c r="O62" s="95">
        <f t="shared" si="15"/>
        <v>0.2194102320733369</v>
      </c>
      <c r="P62" s="95">
        <f t="shared" si="15"/>
        <v>0.19940460651749656</v>
      </c>
      <c r="Q62" s="95">
        <f t="shared" si="15"/>
        <v>0.19940460651749656</v>
      </c>
      <c r="R62" s="95">
        <f t="shared" si="15"/>
        <v>0.19940460651749656</v>
      </c>
      <c r="S62" s="95">
        <f t="shared" si="15"/>
        <v>0</v>
      </c>
      <c r="T62" s="72"/>
      <c r="U62" s="72"/>
      <c r="V62" s="72"/>
      <c r="W62" s="72"/>
      <c r="X62" s="97"/>
      <c r="Y62" s="78"/>
      <c r="AH62" s="96">
        <f>AVERAGE(F62:S62)</f>
        <v>0.25188659751952364</v>
      </c>
    </row>
    <row r="63" spans="1:34" ht="12" customHeight="1">
      <c r="A63" s="14" t="s">
        <v>243</v>
      </c>
      <c r="E63" s="98"/>
      <c r="F63" s="92">
        <f aca="true" t="shared" si="16" ref="F63:U63">SUM(F48-F61)</f>
        <v>1417385</v>
      </c>
      <c r="G63" s="92">
        <f t="shared" si="16"/>
        <v>1368439</v>
      </c>
      <c r="H63" s="92">
        <f t="shared" si="16"/>
        <v>2900130</v>
      </c>
      <c r="I63" s="92">
        <f t="shared" si="16"/>
        <v>3225424.5</v>
      </c>
      <c r="J63" s="92">
        <f t="shared" si="16"/>
        <v>2969044.5</v>
      </c>
      <c r="K63" s="92">
        <f t="shared" si="16"/>
        <v>3598319.5</v>
      </c>
      <c r="L63" s="92">
        <f t="shared" si="16"/>
        <v>4289205.5</v>
      </c>
      <c r="M63" s="92">
        <f t="shared" si="16"/>
        <v>4185585</v>
      </c>
      <c r="N63" s="92">
        <f t="shared" si="16"/>
        <v>4010111</v>
      </c>
      <c r="O63" s="92">
        <f t="shared" si="16"/>
        <v>3861406</v>
      </c>
      <c r="P63" s="92">
        <f t="shared" si="16"/>
        <v>3309181</v>
      </c>
      <c r="Q63" s="92">
        <f t="shared" si="16"/>
        <v>2655426</v>
      </c>
      <c r="R63" s="92">
        <f t="shared" si="16"/>
        <v>2320272.25</v>
      </c>
      <c r="S63" s="92">
        <f t="shared" si="16"/>
        <v>2898728.5</v>
      </c>
      <c r="T63" s="92">
        <f t="shared" si="16"/>
        <v>1704224</v>
      </c>
      <c r="U63" s="92">
        <f t="shared" si="16"/>
        <v>1652791.5</v>
      </c>
      <c r="V63" s="99"/>
      <c r="X63" s="80"/>
      <c r="Y63" s="78"/>
      <c r="AH63" s="93">
        <f>SUM(E63:V63)</f>
        <v>46365673.25</v>
      </c>
    </row>
    <row r="64" spans="1:34" ht="12" customHeight="1" thickBot="1">
      <c r="A64" s="32" t="s">
        <v>244</v>
      </c>
      <c r="E64" s="94"/>
      <c r="F64" s="95">
        <f aca="true" t="shared" si="17" ref="F64:S64">+F63/(+$A$3/1000)</f>
        <v>0.36945503033830307</v>
      </c>
      <c r="G64" s="95">
        <f t="shared" si="17"/>
        <v>0.3566967847558124</v>
      </c>
      <c r="H64" s="95">
        <f>+H63/(+$H$1/1000)</f>
        <v>0.6084582373039576</v>
      </c>
      <c r="I64" s="95">
        <f>+I63/(+$I$1/1000)</f>
        <v>0.6467726078460919</v>
      </c>
      <c r="J64" s="95">
        <f>+J63/(+$I$1/1000)</f>
        <v>0.59536245665527</v>
      </c>
      <c r="K64" s="95">
        <f>+K63/(+$I$1/1000)</f>
        <v>0.7215467256723713</v>
      </c>
      <c r="L64" s="95">
        <f>+L63/(+$I$1/1000)</f>
        <v>0.8600854327307306</v>
      </c>
      <c r="M64" s="95">
        <f>+M63/(+$I$1/1000)</f>
        <v>0.8393071131602939</v>
      </c>
      <c r="N64" s="95">
        <f t="shared" si="17"/>
        <v>1.045273994832006</v>
      </c>
      <c r="O64" s="95">
        <f t="shared" si="17"/>
        <v>1.0065126065807848</v>
      </c>
      <c r="P64" s="95">
        <f t="shared" si="17"/>
        <v>0.8625698499348703</v>
      </c>
      <c r="Q64" s="95">
        <f t="shared" si="17"/>
        <v>0.6921623224396468</v>
      </c>
      <c r="R64" s="95">
        <f t="shared" si="17"/>
        <v>0.604801274542113</v>
      </c>
      <c r="S64" s="95">
        <f t="shared" si="17"/>
        <v>0.7555814587497425</v>
      </c>
      <c r="T64" s="95">
        <f>+T63/(+$A$3/1000)</f>
        <v>0.44422237403617526</v>
      </c>
      <c r="U64" s="95">
        <f>+U63/(+$A$3/1000)</f>
        <v>0.4308159983175986</v>
      </c>
      <c r="V64" s="72"/>
      <c r="W64" s="72"/>
      <c r="X64" s="97"/>
      <c r="Y64" s="78"/>
      <c r="AH64" s="96">
        <f>AVERAGE(F64:S64)</f>
        <v>0.7117561353958567</v>
      </c>
    </row>
    <row r="65" spans="1:34" ht="12" customHeight="1">
      <c r="A65" s="1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78"/>
      <c r="X65" s="68"/>
      <c r="Y65" s="78"/>
      <c r="AH65" s="68"/>
    </row>
    <row r="66" spans="24:25" ht="12" customHeight="1">
      <c r="X66" s="14"/>
      <c r="Y66" s="78"/>
    </row>
    <row r="67" spans="1:34" ht="12" customHeight="1">
      <c r="A67" s="14" t="s">
        <v>245</v>
      </c>
      <c r="E67" s="9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X67" s="76"/>
      <c r="Y67" s="78"/>
      <c r="AH67" s="63" t="s">
        <v>217</v>
      </c>
    </row>
    <row r="68" spans="1:34" ht="12" customHeight="1" thickBot="1">
      <c r="A68" s="14"/>
      <c r="B68" s="14" t="s">
        <v>16</v>
      </c>
      <c r="E68" s="98"/>
      <c r="F68" s="100">
        <v>2002</v>
      </c>
      <c r="G68" s="100">
        <v>2003</v>
      </c>
      <c r="H68" s="100">
        <v>2004</v>
      </c>
      <c r="I68" s="100">
        <v>2005</v>
      </c>
      <c r="J68" s="100">
        <v>2006</v>
      </c>
      <c r="K68" s="100">
        <v>2007</v>
      </c>
      <c r="L68" s="100">
        <v>2008</v>
      </c>
      <c r="M68" s="100">
        <v>2009</v>
      </c>
      <c r="N68" s="100">
        <v>2010</v>
      </c>
      <c r="O68" s="100">
        <v>2011</v>
      </c>
      <c r="P68" s="100">
        <v>2012</v>
      </c>
      <c r="Q68" s="100">
        <v>2013</v>
      </c>
      <c r="R68" s="100">
        <v>2014</v>
      </c>
      <c r="S68" s="100">
        <v>2015</v>
      </c>
      <c r="T68" s="100">
        <v>2016</v>
      </c>
      <c r="U68" s="100">
        <v>2017</v>
      </c>
      <c r="V68" s="65">
        <v>2018</v>
      </c>
      <c r="W68" s="101"/>
      <c r="X68" s="65">
        <v>2019</v>
      </c>
      <c r="Y68" s="65">
        <v>2020</v>
      </c>
      <c r="Z68" s="65">
        <v>2021</v>
      </c>
      <c r="AA68" s="65">
        <v>2022</v>
      </c>
      <c r="AB68" s="65">
        <v>2023</v>
      </c>
      <c r="AC68" s="65">
        <v>2024</v>
      </c>
      <c r="AD68" s="65">
        <v>2025</v>
      </c>
      <c r="AE68" s="65">
        <v>2026</v>
      </c>
      <c r="AF68" s="65">
        <v>2027</v>
      </c>
      <c r="AG68" s="65">
        <v>2028</v>
      </c>
      <c r="AH68" s="100" t="s">
        <v>139</v>
      </c>
    </row>
    <row r="69" spans="1:34" ht="12" customHeight="1">
      <c r="A69" s="14"/>
      <c r="B69" s="14" t="s">
        <v>16</v>
      </c>
      <c r="E69" s="9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X69" s="80"/>
      <c r="Y69" s="78"/>
      <c r="AH69" s="80"/>
    </row>
    <row r="70" spans="1:34" ht="12" customHeight="1">
      <c r="A70" s="14"/>
      <c r="E70" s="9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/>
      <c r="X70" s="80"/>
      <c r="Y70" s="78"/>
      <c r="AH70" s="80"/>
    </row>
    <row r="71" spans="1:34" ht="12" customHeight="1">
      <c r="A71" s="14" t="s">
        <v>246</v>
      </c>
      <c r="B71" s="102">
        <f>440000-126000</f>
        <v>314000</v>
      </c>
      <c r="D71" s="19" t="s">
        <v>222</v>
      </c>
      <c r="E71" s="98"/>
      <c r="F71" s="77"/>
      <c r="G71" s="77"/>
      <c r="H71" s="77">
        <v>0</v>
      </c>
      <c r="I71" s="77">
        <v>0</v>
      </c>
      <c r="J71" s="77">
        <v>0</v>
      </c>
      <c r="K71" s="77">
        <v>114000</v>
      </c>
      <c r="L71" s="77">
        <v>100000</v>
      </c>
      <c r="M71" s="77">
        <v>100000</v>
      </c>
      <c r="N71" s="77"/>
      <c r="O71" s="77"/>
      <c r="P71" s="77"/>
      <c r="Q71" s="77"/>
      <c r="R71" s="77"/>
      <c r="S71" s="77"/>
      <c r="T71" s="77"/>
      <c r="U71" s="77"/>
      <c r="V71" s="77"/>
      <c r="X71" s="80"/>
      <c r="Y71" s="78"/>
      <c r="AH71" s="76">
        <f>SUM(G71:AF71)</f>
        <v>314000</v>
      </c>
    </row>
    <row r="72" spans="1:34" ht="12" customHeight="1" thickBot="1">
      <c r="A72" s="14"/>
      <c r="B72" s="102"/>
      <c r="D72" s="19" t="s">
        <v>223</v>
      </c>
      <c r="E72" s="98"/>
      <c r="F72" s="77"/>
      <c r="G72" s="103"/>
      <c r="H72" s="103">
        <v>0</v>
      </c>
      <c r="I72" s="103">
        <v>0</v>
      </c>
      <c r="J72" s="103">
        <v>0</v>
      </c>
      <c r="K72" s="103">
        <f>($B$71-SUM($G71:J$71))*0.0475</f>
        <v>14915</v>
      </c>
      <c r="L72" s="103">
        <f>($B$71-SUM($G71:K$71))*0.0475</f>
        <v>9500</v>
      </c>
      <c r="M72" s="103">
        <f>($B$71-SUM($G71:L$71))*0.0475</f>
        <v>4750</v>
      </c>
      <c r="N72" s="103"/>
      <c r="O72" s="103"/>
      <c r="P72" s="103"/>
      <c r="Q72" s="103"/>
      <c r="R72" s="103"/>
      <c r="S72" s="103"/>
      <c r="T72" s="103"/>
      <c r="U72" s="103"/>
      <c r="V72" s="103"/>
      <c r="W72" s="72"/>
      <c r="X72" s="80"/>
      <c r="Y72" s="78"/>
      <c r="AH72" s="104">
        <f>SUM(G72:AF72)</f>
        <v>29165</v>
      </c>
    </row>
    <row r="73" spans="1:34" ht="12" customHeight="1">
      <c r="A73" s="14"/>
      <c r="B73" s="102"/>
      <c r="E73" s="98"/>
      <c r="F73" s="77"/>
      <c r="G73" s="77">
        <f aca="true" t="shared" si="18" ref="G73:M73">SUM(G71:G72)</f>
        <v>0</v>
      </c>
      <c r="H73" s="77">
        <f t="shared" si="18"/>
        <v>0</v>
      </c>
      <c r="I73" s="77">
        <f t="shared" si="18"/>
        <v>0</v>
      </c>
      <c r="J73" s="77">
        <f t="shared" si="18"/>
        <v>0</v>
      </c>
      <c r="K73" s="77">
        <f t="shared" si="18"/>
        <v>128915</v>
      </c>
      <c r="L73" s="77">
        <f t="shared" si="18"/>
        <v>109500</v>
      </c>
      <c r="M73" s="77">
        <f t="shared" si="18"/>
        <v>104750</v>
      </c>
      <c r="N73" s="77"/>
      <c r="O73" s="77"/>
      <c r="P73" s="77"/>
      <c r="Q73" s="77"/>
      <c r="R73" s="77"/>
      <c r="S73" s="77"/>
      <c r="T73" s="77"/>
      <c r="U73" s="77"/>
      <c r="V73" s="77"/>
      <c r="X73" s="80"/>
      <c r="Y73" s="78"/>
      <c r="AH73" s="80">
        <f>SUM(E73:V73)</f>
        <v>343165</v>
      </c>
    </row>
    <row r="74" spans="1:34" ht="12" customHeight="1" thickBot="1">
      <c r="A74" s="14"/>
      <c r="D74" s="19" t="s">
        <v>247</v>
      </c>
      <c r="G74" s="105">
        <f>(G73/$A$3)*1000</f>
        <v>0</v>
      </c>
      <c r="H74" s="105">
        <f>(H73/$H$1)*1000</f>
        <v>0</v>
      </c>
      <c r="I74" s="105">
        <f>(I73/$I$1)*1000</f>
        <v>0</v>
      </c>
      <c r="J74" s="105">
        <f>(J73/$I$1)*1000</f>
        <v>0</v>
      </c>
      <c r="K74" s="105">
        <f>(K73/$I$1)*1000</f>
        <v>0.025850454952667138</v>
      </c>
      <c r="L74" s="105">
        <f>(L73/$I$1)*1000</f>
        <v>0.02195729602697166</v>
      </c>
      <c r="M74" s="105">
        <f>(M73/$I$1)*1000</f>
        <v>0.021004810582879282</v>
      </c>
      <c r="N74" s="105"/>
      <c r="O74" s="105"/>
      <c r="P74" s="105"/>
      <c r="Q74" s="105"/>
      <c r="R74" s="105"/>
      <c r="S74" s="105"/>
      <c r="T74" s="105"/>
      <c r="U74" s="105"/>
      <c r="V74" s="105"/>
      <c r="W74" s="72"/>
      <c r="X74" s="106"/>
      <c r="Y74" s="72"/>
      <c r="Z74" s="72"/>
      <c r="AA74" s="72"/>
      <c r="AB74" s="72"/>
      <c r="AC74" s="72"/>
      <c r="AD74" s="72"/>
      <c r="AE74" s="72"/>
      <c r="AF74" s="72"/>
      <c r="AG74" s="72"/>
      <c r="AH74" s="106">
        <f>SUM(G74:K74)/5</f>
        <v>0.005170090990533427</v>
      </c>
    </row>
    <row r="75" spans="1:34" ht="12" customHeight="1">
      <c r="A75" s="14" t="s">
        <v>248</v>
      </c>
      <c r="B75" s="107">
        <v>1000000</v>
      </c>
      <c r="D75" s="19" t="s">
        <v>222</v>
      </c>
      <c r="E75" s="98"/>
      <c r="F75" s="77"/>
      <c r="G75" s="77"/>
      <c r="H75" s="77">
        <v>0</v>
      </c>
      <c r="I75" s="77">
        <v>0</v>
      </c>
      <c r="J75" s="77">
        <v>0</v>
      </c>
      <c r="K75" s="77">
        <v>200000</v>
      </c>
      <c r="L75" s="77">
        <v>200000</v>
      </c>
      <c r="M75" s="77">
        <v>200000</v>
      </c>
      <c r="N75" s="77">
        <v>200000</v>
      </c>
      <c r="O75" s="77">
        <v>200000</v>
      </c>
      <c r="P75" s="77">
        <v>0</v>
      </c>
      <c r="Q75" s="77"/>
      <c r="R75" s="77"/>
      <c r="S75" s="77"/>
      <c r="T75" s="77"/>
      <c r="U75" s="77"/>
      <c r="V75" s="77"/>
      <c r="X75" s="80"/>
      <c r="Y75" s="78"/>
      <c r="AH75" s="76">
        <f>SUM(G75:AF75)</f>
        <v>1000000</v>
      </c>
    </row>
    <row r="76" spans="1:34" ht="12" customHeight="1" thickBot="1">
      <c r="A76" s="14"/>
      <c r="B76" s="107" t="s">
        <v>16</v>
      </c>
      <c r="D76" s="19" t="s">
        <v>223</v>
      </c>
      <c r="E76" s="98"/>
      <c r="F76" s="77"/>
      <c r="G76" s="103"/>
      <c r="H76" s="103">
        <v>0</v>
      </c>
      <c r="I76" s="103">
        <v>0</v>
      </c>
      <c r="J76" s="103">
        <v>0</v>
      </c>
      <c r="K76" s="103">
        <f>($B$75-SUM($G$75:J75))*0.0475</f>
        <v>47500</v>
      </c>
      <c r="L76" s="103">
        <f>($B$75-SUM($G$75:K75))*0.0475</f>
        <v>38000</v>
      </c>
      <c r="M76" s="103">
        <f>($B$75-SUM($G$75:L75))*0.0475</f>
        <v>28500</v>
      </c>
      <c r="N76" s="103">
        <f>($B$75-SUM($G$75:M75))*0.0475</f>
        <v>19000</v>
      </c>
      <c r="O76" s="103">
        <f>($B$75-SUM($G$75:N75))*0.0475</f>
        <v>9500</v>
      </c>
      <c r="P76" s="103">
        <f>($B$75-SUM($G$75:O75))*0.0475</f>
        <v>0</v>
      </c>
      <c r="Q76" s="103"/>
      <c r="R76" s="103"/>
      <c r="S76" s="103"/>
      <c r="T76" s="103"/>
      <c r="U76" s="103"/>
      <c r="V76" s="103"/>
      <c r="W76" s="72"/>
      <c r="X76" s="80"/>
      <c r="Y76" s="78"/>
      <c r="AH76" s="104">
        <f>SUM(G76:AF76)</f>
        <v>142500</v>
      </c>
    </row>
    <row r="77" spans="1:34" ht="12" customHeight="1">
      <c r="A77" s="14"/>
      <c r="E77" s="98"/>
      <c r="F77" s="77"/>
      <c r="G77" s="77">
        <f aca="true" t="shared" si="19" ref="G77:L77">SUM(G75:G76)</f>
        <v>0</v>
      </c>
      <c r="H77" s="77">
        <f t="shared" si="19"/>
        <v>0</v>
      </c>
      <c r="I77" s="77">
        <f t="shared" si="19"/>
        <v>0</v>
      </c>
      <c r="J77" s="77">
        <f t="shared" si="19"/>
        <v>0</v>
      </c>
      <c r="K77" s="77">
        <f t="shared" si="19"/>
        <v>247500</v>
      </c>
      <c r="L77" s="77">
        <f t="shared" si="19"/>
        <v>238000</v>
      </c>
      <c r="M77" s="77">
        <f>SUM(M75:M76)</f>
        <v>228500</v>
      </c>
      <c r="N77" s="77">
        <f>SUM(N75:N76)</f>
        <v>219000</v>
      </c>
      <c r="O77" s="77">
        <f>SUM(O75:O76)</f>
        <v>209500</v>
      </c>
      <c r="P77" s="77"/>
      <c r="Q77" s="77"/>
      <c r="R77" s="77"/>
      <c r="S77" s="77"/>
      <c r="T77" s="77"/>
      <c r="U77" s="77"/>
      <c r="V77" s="77"/>
      <c r="X77" s="80"/>
      <c r="Y77" s="78"/>
      <c r="AH77" s="80">
        <f>SUM(E77:V77)</f>
        <v>1142500</v>
      </c>
    </row>
    <row r="78" spans="4:34" ht="12" customHeight="1" thickBot="1">
      <c r="D78" s="19" t="s">
        <v>247</v>
      </c>
      <c r="G78" s="105">
        <f>(G77/$A$3)*1000</f>
        <v>0</v>
      </c>
      <c r="H78" s="105">
        <f>(H77/$H$1)*1000</f>
        <v>0</v>
      </c>
      <c r="I78" s="105">
        <f aca="true" t="shared" si="20" ref="I78:O78">(I77/$I$1)*1000</f>
        <v>0</v>
      </c>
      <c r="J78" s="105">
        <f t="shared" si="20"/>
        <v>0</v>
      </c>
      <c r="K78" s="105">
        <f t="shared" si="20"/>
        <v>0.049629504718497586</v>
      </c>
      <c r="L78" s="105">
        <f t="shared" si="20"/>
        <v>0.04772453383031283</v>
      </c>
      <c r="M78" s="105">
        <f t="shared" si="20"/>
        <v>0.04581956294212808</v>
      </c>
      <c r="N78" s="105">
        <f t="shared" si="20"/>
        <v>0.04391459205394332</v>
      </c>
      <c r="O78" s="105">
        <f t="shared" si="20"/>
        <v>0.042009621165758564</v>
      </c>
      <c r="P78" s="105"/>
      <c r="Q78" s="105"/>
      <c r="R78" s="105"/>
      <c r="S78" s="105"/>
      <c r="T78" s="105"/>
      <c r="U78" s="105"/>
      <c r="V78" s="105"/>
      <c r="W78" s="72"/>
      <c r="X78" s="106"/>
      <c r="Y78" s="72"/>
      <c r="Z78" s="72"/>
      <c r="AA78" s="72"/>
      <c r="AB78" s="72"/>
      <c r="AC78" s="72"/>
      <c r="AD78" s="72"/>
      <c r="AE78" s="72"/>
      <c r="AF78" s="72"/>
      <c r="AG78" s="72"/>
      <c r="AH78" s="106">
        <f>SUM(G78:K78)/5</f>
        <v>0.009925900943699517</v>
      </c>
    </row>
    <row r="79" spans="7:34" ht="12" customHeight="1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78"/>
      <c r="X79" s="109"/>
      <c r="Y79" s="78"/>
      <c r="Z79" s="78"/>
      <c r="AA79" s="78"/>
      <c r="AB79" s="78"/>
      <c r="AC79" s="78"/>
      <c r="AD79" s="78"/>
      <c r="AE79" s="78"/>
      <c r="AF79" s="78"/>
      <c r="AG79" s="78"/>
      <c r="AH79" s="109"/>
    </row>
    <row r="80" spans="7:34" ht="12" customHeight="1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78"/>
      <c r="X80" s="109"/>
      <c r="Y80" s="78"/>
      <c r="Z80" s="78"/>
      <c r="AA80" s="78"/>
      <c r="AB80" s="78"/>
      <c r="AC80" s="78"/>
      <c r="AD80" s="78"/>
      <c r="AE80" s="78"/>
      <c r="AF80" s="78"/>
      <c r="AG80" s="78"/>
      <c r="AH80" s="109"/>
    </row>
    <row r="81" spans="2:16" ht="12" customHeight="1">
      <c r="B81" s="14" t="s">
        <v>249</v>
      </c>
      <c r="G81" s="110"/>
      <c r="H81" s="111">
        <f aca="true" t="shared" si="21" ref="H81:L82">H75</f>
        <v>0</v>
      </c>
      <c r="I81" s="111">
        <f t="shared" si="21"/>
        <v>0</v>
      </c>
      <c r="J81" s="111">
        <f t="shared" si="21"/>
        <v>0</v>
      </c>
      <c r="K81" s="111">
        <v>0</v>
      </c>
      <c r="L81" s="111">
        <f t="shared" si="21"/>
        <v>200000</v>
      </c>
      <c r="M81" s="110"/>
      <c r="N81" s="110"/>
      <c r="O81" s="110"/>
      <c r="P81" s="110"/>
    </row>
    <row r="82" spans="2:34" ht="12" customHeight="1" thickBot="1">
      <c r="B82" s="14" t="s">
        <v>250</v>
      </c>
      <c r="G82" s="103" t="s">
        <v>16</v>
      </c>
      <c r="H82" s="103">
        <f t="shared" si="21"/>
        <v>0</v>
      </c>
      <c r="I82" s="103">
        <f t="shared" si="21"/>
        <v>0</v>
      </c>
      <c r="J82" s="103">
        <f t="shared" si="21"/>
        <v>0</v>
      </c>
      <c r="K82" s="103">
        <v>30000</v>
      </c>
      <c r="L82" s="103">
        <f t="shared" si="21"/>
        <v>38000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112">
        <f>SUM(G82:AE82)</f>
        <v>68000</v>
      </c>
    </row>
    <row r="83" spans="7:34" ht="12" customHeight="1">
      <c r="G83" s="29"/>
      <c r="H83" s="29">
        <f>SUM(H81:H82)</f>
        <v>0</v>
      </c>
      <c r="I83" s="29">
        <f>SUM(I81:I82)</f>
        <v>0</v>
      </c>
      <c r="J83" s="29">
        <f>SUM(J81:J82)</f>
        <v>0</v>
      </c>
      <c r="K83" s="29">
        <f>SUM(K81:K82)</f>
        <v>30000</v>
      </c>
      <c r="L83" s="29">
        <f>SUM(L81:L82)</f>
        <v>238000</v>
      </c>
      <c r="AH83" s="113"/>
    </row>
    <row r="84" spans="2:34" ht="12" customHeight="1" thickBot="1">
      <c r="B84" s="107">
        <v>1135000</v>
      </c>
      <c r="D84" s="19" t="s">
        <v>247</v>
      </c>
      <c r="G84" s="114">
        <v>0</v>
      </c>
      <c r="H84" s="114">
        <f>(H83/$H$1)*1000</f>
        <v>0</v>
      </c>
      <c r="I84" s="114">
        <f>(I83/$I$1)*1000</f>
        <v>0</v>
      </c>
      <c r="J84" s="114">
        <f>(J83/$I$1)*1000</f>
        <v>0</v>
      </c>
      <c r="K84" s="114">
        <f>(K83/$I$1)*1000</f>
        <v>0.0060156975416360715</v>
      </c>
      <c r="L84" s="114">
        <f>(L83/$I$1)*1000</f>
        <v>0.04772453383031283</v>
      </c>
      <c r="M84" s="114">
        <f>(M83/$I$1)*1000</f>
        <v>0</v>
      </c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115">
        <f>SUM(G84:AE84)/5</f>
        <v>0.01074804627438978</v>
      </c>
    </row>
    <row r="85" spans="1:36" s="116" customFormat="1" ht="12" customHeight="1">
      <c r="A85" s="66"/>
      <c r="B85" s="66" t="s">
        <v>251</v>
      </c>
      <c r="E85" s="117"/>
      <c r="F85" s="118">
        <f>SUM(F64+F78-F84)</f>
        <v>0.36945503033830307</v>
      </c>
      <c r="G85" s="118">
        <f>SUM(G64+G78-G84)</f>
        <v>0.3566967847558124</v>
      </c>
      <c r="H85" s="118">
        <f aca="true" t="shared" si="22" ref="H85:M85">SUM(H64+H74+H78-H84)</f>
        <v>0.6084582373039576</v>
      </c>
      <c r="I85" s="118">
        <f>SUM(I64+I74+I78-I84)</f>
        <v>0.6467726078460919</v>
      </c>
      <c r="J85" s="118">
        <f t="shared" si="22"/>
        <v>0.59536245665527</v>
      </c>
      <c r="K85" s="118">
        <f t="shared" si="22"/>
        <v>0.7910109878018999</v>
      </c>
      <c r="L85" s="118">
        <f t="shared" si="22"/>
        <v>0.8820427287577022</v>
      </c>
      <c r="M85" s="118">
        <f t="shared" si="22"/>
        <v>0.9061314866853013</v>
      </c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>
        <f>SUM(AH64+AH74+AH78-AH84)</f>
        <v>0.7161040810556999</v>
      </c>
      <c r="AI85" s="118"/>
      <c r="AJ85" s="118"/>
    </row>
    <row r="86" spans="1:34" s="116" customFormat="1" ht="12" customHeight="1">
      <c r="A86" s="119" t="s">
        <v>252</v>
      </c>
      <c r="B86" s="66"/>
      <c r="E86" s="117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63" t="s">
        <v>217</v>
      </c>
    </row>
    <row r="87" spans="1:34" s="116" customFormat="1" ht="12" customHeight="1">
      <c r="A87" s="120"/>
      <c r="B87" s="66"/>
      <c r="C87" s="66"/>
      <c r="D87" s="66"/>
      <c r="E87" s="66"/>
      <c r="F87" s="121"/>
      <c r="G87" s="122"/>
      <c r="H87" s="123"/>
      <c r="I87" s="123"/>
      <c r="J87" s="123"/>
      <c r="K87" s="123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X87" s="80"/>
      <c r="Y87" s="124"/>
      <c r="Z87" s="124"/>
      <c r="AA87" s="124"/>
      <c r="AB87" s="124"/>
      <c r="AC87" s="124"/>
      <c r="AD87" s="124"/>
      <c r="AE87" s="124"/>
      <c r="AF87" s="124"/>
      <c r="AG87" s="124"/>
      <c r="AH87" s="113"/>
    </row>
    <row r="88" spans="2:34" s="78" customFormat="1" ht="12" customHeight="1">
      <c r="B88" s="68"/>
      <c r="F88" s="128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6"/>
      <c r="S88" s="126"/>
      <c r="T88" s="126"/>
      <c r="U88" s="126"/>
      <c r="V88" s="126"/>
      <c r="X88" s="129"/>
      <c r="Y88" s="126"/>
      <c r="Z88" s="126"/>
      <c r="AA88" s="126"/>
      <c r="AB88" s="126"/>
      <c r="AC88" s="126"/>
      <c r="AD88" s="126"/>
      <c r="AE88" s="126"/>
      <c r="AF88" s="126"/>
      <c r="AG88" s="126"/>
      <c r="AH88" s="113"/>
    </row>
    <row r="89" spans="2:34" s="78" customFormat="1" ht="12" customHeight="1">
      <c r="B89" s="66"/>
      <c r="C89" s="116"/>
      <c r="D89" s="116"/>
      <c r="F89" s="77"/>
      <c r="G89" s="90"/>
      <c r="H89" s="90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X89" s="130"/>
      <c r="Y89" s="126"/>
      <c r="Z89" s="90"/>
      <c r="AA89" s="130"/>
      <c r="AB89" s="126"/>
      <c r="AC89" s="126"/>
      <c r="AD89" s="126"/>
      <c r="AE89" s="126"/>
      <c r="AF89" s="126"/>
      <c r="AG89" s="126"/>
      <c r="AH89" s="113"/>
    </row>
    <row r="90" spans="2:34" s="78" customFormat="1" ht="12" customHeight="1">
      <c r="B90" s="66"/>
      <c r="C90" s="116"/>
      <c r="D90" s="116"/>
      <c r="F90" s="77"/>
      <c r="G90" s="90"/>
      <c r="H90" s="90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X90" s="130"/>
      <c r="Y90" s="126"/>
      <c r="Z90" s="90"/>
      <c r="AA90" s="130"/>
      <c r="AB90" s="126"/>
      <c r="AC90" s="126"/>
      <c r="AD90" s="126"/>
      <c r="AE90" s="126"/>
      <c r="AF90" s="126"/>
      <c r="AG90" s="126"/>
      <c r="AH90" s="113"/>
    </row>
    <row r="91" spans="2:34" s="78" customFormat="1" ht="12" customHeight="1">
      <c r="B91" s="88" t="s">
        <v>254</v>
      </c>
      <c r="C91" s="116"/>
      <c r="D91" s="116" t="s">
        <v>222</v>
      </c>
      <c r="F91" s="77"/>
      <c r="G91" s="90"/>
      <c r="H91" s="90"/>
      <c r="I91" s="90"/>
      <c r="J91" s="90"/>
      <c r="K91" s="90">
        <f>B92/20</f>
        <v>840000</v>
      </c>
      <c r="L91" s="90">
        <f aca="true" t="shared" si="23" ref="L91:AA91">K91</f>
        <v>840000</v>
      </c>
      <c r="M91" s="90">
        <f t="shared" si="23"/>
        <v>840000</v>
      </c>
      <c r="N91" s="90">
        <f t="shared" si="23"/>
        <v>840000</v>
      </c>
      <c r="O91" s="90">
        <f t="shared" si="23"/>
        <v>840000</v>
      </c>
      <c r="P91" s="90">
        <f t="shared" si="23"/>
        <v>840000</v>
      </c>
      <c r="Q91" s="90">
        <f t="shared" si="23"/>
        <v>840000</v>
      </c>
      <c r="R91" s="90">
        <f t="shared" si="23"/>
        <v>840000</v>
      </c>
      <c r="S91" s="90">
        <f t="shared" si="23"/>
        <v>840000</v>
      </c>
      <c r="T91" s="90">
        <f t="shared" si="23"/>
        <v>840000</v>
      </c>
      <c r="U91" s="90">
        <f t="shared" si="23"/>
        <v>840000</v>
      </c>
      <c r="V91" s="90">
        <f t="shared" si="23"/>
        <v>840000</v>
      </c>
      <c r="X91" s="90">
        <f>V91</f>
        <v>840000</v>
      </c>
      <c r="Y91" s="90">
        <f>X91</f>
        <v>840000</v>
      </c>
      <c r="Z91" s="90">
        <f t="shared" si="23"/>
        <v>840000</v>
      </c>
      <c r="AA91" s="90">
        <f t="shared" si="23"/>
        <v>840000</v>
      </c>
      <c r="AB91" s="90">
        <f>AA91</f>
        <v>840000</v>
      </c>
      <c r="AC91" s="90">
        <f>AB91</f>
        <v>840000</v>
      </c>
      <c r="AD91" s="90">
        <f>AC91</f>
        <v>840000</v>
      </c>
      <c r="AE91" s="90">
        <f>AD91</f>
        <v>840000</v>
      </c>
      <c r="AF91" s="90"/>
      <c r="AG91" s="90"/>
      <c r="AH91" s="113">
        <f>SUM(G91:AE91)</f>
        <v>16800000</v>
      </c>
    </row>
    <row r="92" spans="2:34" s="78" customFormat="1" ht="12" customHeight="1" thickBot="1">
      <c r="B92" s="88">
        <v>16800000</v>
      </c>
      <c r="C92" s="116"/>
      <c r="D92" s="116" t="s">
        <v>223</v>
      </c>
      <c r="F92" s="94"/>
      <c r="G92" s="127"/>
      <c r="H92" s="127"/>
      <c r="I92" s="127"/>
      <c r="J92" s="127"/>
      <c r="K92" s="127">
        <f>($B$92-SUM($G$91:J91))*0.0475</f>
        <v>798000</v>
      </c>
      <c r="L92" s="127">
        <f>($B$92-SUM($G$91:K91))*0.0475</f>
        <v>758100</v>
      </c>
      <c r="M92" s="127">
        <f>($B$92-SUM($G$91:L91))*0.0475</f>
        <v>718200</v>
      </c>
      <c r="N92" s="127">
        <f>($B$92-SUM($G$91:M91))*0.0475</f>
        <v>678300</v>
      </c>
      <c r="O92" s="127">
        <f>($B$92-SUM($G$91:N91))*0.0475</f>
        <v>638400</v>
      </c>
      <c r="P92" s="127">
        <f>($B$92-SUM($G$91:O91))*0.0475</f>
        <v>598500</v>
      </c>
      <c r="Q92" s="127">
        <f>($B$92-SUM($G$91:P91))*0.0475</f>
        <v>558600</v>
      </c>
      <c r="R92" s="127">
        <f>($B$92-SUM($G$91:Q91))*0.0475</f>
        <v>518700</v>
      </c>
      <c r="S92" s="127">
        <f>($B$92-SUM($G$91:R91))*0.0475</f>
        <v>478800</v>
      </c>
      <c r="T92" s="127">
        <f>($B$92-SUM($G$91:S91))*0.0475</f>
        <v>438900</v>
      </c>
      <c r="U92" s="127">
        <f>($B$92-SUM($G$91:T91))*0.0475</f>
        <v>399000</v>
      </c>
      <c r="V92" s="127">
        <f>($B$92-SUM($G$91:U91))*0.0475</f>
        <v>359100</v>
      </c>
      <c r="W92" s="72"/>
      <c r="X92" s="127">
        <f>($B$92-SUM($G$91:V91))*0.0475</f>
        <v>319200</v>
      </c>
      <c r="Y92" s="127">
        <f>($B$92-SUM($G$91:W91))*0.0475</f>
        <v>319200</v>
      </c>
      <c r="Z92" s="127">
        <f>($B$92-SUM($G$91:X91))*0.0475</f>
        <v>279300</v>
      </c>
      <c r="AA92" s="127">
        <f>($B$92-SUM($G$91:Y91))*0.0475</f>
        <v>239400</v>
      </c>
      <c r="AB92" s="127">
        <f>($B$92-SUM($G$91:Z91))*0.0475</f>
        <v>199500</v>
      </c>
      <c r="AC92" s="127">
        <f>($B$92-SUM($G$91:AA91))*0.0475</f>
        <v>159600</v>
      </c>
      <c r="AD92" s="127">
        <f>($B$92-SUM($G$91:AB91))*0.0475</f>
        <v>119700</v>
      </c>
      <c r="AE92" s="127">
        <f>($B$92-SUM($G$91:AC91))*0.0475</f>
        <v>79800</v>
      </c>
      <c r="AF92" s="127"/>
      <c r="AG92" s="127"/>
      <c r="AH92" s="112">
        <f>SUM(G92:AE92)</f>
        <v>8658300</v>
      </c>
    </row>
    <row r="93" spans="2:34" s="78" customFormat="1" ht="12" customHeight="1">
      <c r="B93" s="66"/>
      <c r="C93" s="116"/>
      <c r="D93" s="116"/>
      <c r="F93" s="94"/>
      <c r="G93" s="125"/>
      <c r="H93" s="90"/>
      <c r="I93" s="125"/>
      <c r="J93" s="125"/>
      <c r="K93" s="125">
        <f aca="true" t="shared" si="24" ref="K93:Y93">SUM(K91:K92)</f>
        <v>1638000</v>
      </c>
      <c r="L93" s="125">
        <f t="shared" si="24"/>
        <v>1598100</v>
      </c>
      <c r="M93" s="125">
        <f t="shared" si="24"/>
        <v>1558200</v>
      </c>
      <c r="N93" s="125">
        <f t="shared" si="24"/>
        <v>1518300</v>
      </c>
      <c r="O93" s="125">
        <f t="shared" si="24"/>
        <v>1478400</v>
      </c>
      <c r="P93" s="125">
        <f t="shared" si="24"/>
        <v>1438500</v>
      </c>
      <c r="Q93" s="125">
        <f t="shared" si="24"/>
        <v>1398600</v>
      </c>
      <c r="R93" s="125">
        <f t="shared" si="24"/>
        <v>1358700</v>
      </c>
      <c r="S93" s="125">
        <f t="shared" si="24"/>
        <v>1318800</v>
      </c>
      <c r="T93" s="125">
        <f t="shared" si="24"/>
        <v>1278900</v>
      </c>
      <c r="U93" s="125">
        <f t="shared" si="24"/>
        <v>1239000</v>
      </c>
      <c r="V93" s="125">
        <f t="shared" si="24"/>
        <v>1199100</v>
      </c>
      <c r="X93" s="125">
        <f>SUM(X91:X92)</f>
        <v>1159200</v>
      </c>
      <c r="Y93" s="125">
        <f t="shared" si="24"/>
        <v>1159200</v>
      </c>
      <c r="Z93" s="125">
        <f aca="true" t="shared" si="25" ref="Z93:AE93">SUM(Z91:Z92)</f>
        <v>1119300</v>
      </c>
      <c r="AA93" s="125">
        <f t="shared" si="25"/>
        <v>1079400</v>
      </c>
      <c r="AB93" s="125">
        <f t="shared" si="25"/>
        <v>1039500</v>
      </c>
      <c r="AC93" s="125">
        <f t="shared" si="25"/>
        <v>999600</v>
      </c>
      <c r="AD93" s="125">
        <f t="shared" si="25"/>
        <v>959700</v>
      </c>
      <c r="AE93" s="125">
        <f t="shared" si="25"/>
        <v>919800</v>
      </c>
      <c r="AF93" s="125"/>
      <c r="AG93" s="125"/>
      <c r="AH93" s="113">
        <f>SUM(G93:AE93)</f>
        <v>25458300</v>
      </c>
    </row>
    <row r="94" spans="2:34" s="78" customFormat="1" ht="12" customHeight="1" thickBot="1">
      <c r="B94" s="66"/>
      <c r="C94" s="116"/>
      <c r="D94" s="116" t="s">
        <v>253</v>
      </c>
      <c r="G94" s="114"/>
      <c r="H94" s="114"/>
      <c r="I94" s="114"/>
      <c r="J94" s="114"/>
      <c r="K94" s="114">
        <f>(K93/$I$1)*1000</f>
        <v>0.3284570857733295</v>
      </c>
      <c r="L94" s="114">
        <f>(L93/$I$1)*1000</f>
        <v>0.3204562080429535</v>
      </c>
      <c r="M94" s="114">
        <f>(M93/$I$1)*1000</f>
        <v>0.31245533031257755</v>
      </c>
      <c r="N94" s="114">
        <f aca="true" t="shared" si="26" ref="N94:AA94">(N93/$A$3)*1000</f>
        <v>0.39575949552354905</v>
      </c>
      <c r="O94" s="114">
        <f t="shared" si="26"/>
        <v>0.3853591768306757</v>
      </c>
      <c r="P94" s="114">
        <f t="shared" si="26"/>
        <v>0.37495885813780233</v>
      </c>
      <c r="Q94" s="114">
        <f t="shared" si="26"/>
        <v>0.364558539444929</v>
      </c>
      <c r="R94" s="114">
        <f t="shared" si="26"/>
        <v>0.35415822075205566</v>
      </c>
      <c r="S94" s="114">
        <f t="shared" si="26"/>
        <v>0.34375790205918233</v>
      </c>
      <c r="T94" s="114">
        <f t="shared" si="26"/>
        <v>0.33335758336630894</v>
      </c>
      <c r="U94" s="114">
        <f t="shared" si="26"/>
        <v>0.3229572646734356</v>
      </c>
      <c r="V94" s="114">
        <f t="shared" si="26"/>
        <v>0.3125569459805622</v>
      </c>
      <c r="W94" s="72"/>
      <c r="X94" s="114">
        <f>(X93/$A$3)*1000</f>
        <v>0.3021566272876889</v>
      </c>
      <c r="Y94" s="114">
        <f t="shared" si="26"/>
        <v>0.3021566272876889</v>
      </c>
      <c r="Z94" s="114">
        <f t="shared" si="26"/>
        <v>0.29175630859481555</v>
      </c>
      <c r="AA94" s="114">
        <f t="shared" si="26"/>
        <v>0.2813559899019422</v>
      </c>
      <c r="AB94" s="114">
        <f>(AB93/$A$3)*1000</f>
        <v>0.2709556712090689</v>
      </c>
      <c r="AC94" s="114">
        <f>(AC93/$A$3)*1000</f>
        <v>0.2605553525161955</v>
      </c>
      <c r="AD94" s="114">
        <f>(AD93/$A$3)*1000</f>
        <v>0.25015503382332216</v>
      </c>
      <c r="AE94" s="114">
        <f>(AE93/$A$3)*1000</f>
        <v>0.2397547151304488</v>
      </c>
      <c r="AF94" s="114"/>
      <c r="AG94" s="114"/>
      <c r="AH94" s="115" t="s">
        <v>16</v>
      </c>
    </row>
    <row r="95" spans="2:5" ht="12" customHeight="1">
      <c r="B95" s="66"/>
      <c r="C95" s="116"/>
      <c r="D95" s="116"/>
      <c r="E95" s="78"/>
    </row>
    <row r="96" spans="2:5" ht="12" customHeight="1">
      <c r="B96" s="66" t="s">
        <v>255</v>
      </c>
      <c r="C96" s="116"/>
      <c r="D96" s="116"/>
      <c r="E96" s="78"/>
    </row>
    <row r="97" spans="2:35" ht="12" customHeight="1">
      <c r="B97" s="131" t="s">
        <v>256</v>
      </c>
      <c r="C97" s="116" t="s">
        <v>257</v>
      </c>
      <c r="D97" s="116" t="s">
        <v>222</v>
      </c>
      <c r="E97" s="78"/>
      <c r="K97" s="29">
        <v>2160000</v>
      </c>
      <c r="L97" s="29">
        <v>1440000</v>
      </c>
      <c r="M97" s="29">
        <v>470000</v>
      </c>
      <c r="N97" s="29">
        <v>470000</v>
      </c>
      <c r="O97" s="29">
        <v>470000</v>
      </c>
      <c r="P97" s="29">
        <v>470000</v>
      </c>
      <c r="Q97" s="29">
        <v>470000</v>
      </c>
      <c r="R97" s="29">
        <v>470000</v>
      </c>
      <c r="S97" s="29">
        <v>470000</v>
      </c>
      <c r="T97" s="29">
        <v>470000</v>
      </c>
      <c r="U97" s="29">
        <v>470000</v>
      </c>
      <c r="V97" s="29">
        <v>470000</v>
      </c>
      <c r="X97" s="29">
        <v>470000</v>
      </c>
      <c r="Y97" s="29">
        <v>470000</v>
      </c>
      <c r="Z97" s="29">
        <v>470000</v>
      </c>
      <c r="AA97" s="29">
        <v>470000</v>
      </c>
      <c r="AB97" s="29">
        <v>470000</v>
      </c>
      <c r="AC97" s="29">
        <v>450000</v>
      </c>
      <c r="AD97" s="29">
        <v>450000</v>
      </c>
      <c r="AE97" s="29">
        <v>450000</v>
      </c>
      <c r="AF97" s="29"/>
      <c r="AG97" s="29"/>
      <c r="AH97" s="113">
        <f>SUM(G97:AE97)</f>
        <v>12000000</v>
      </c>
      <c r="AI97" s="29"/>
    </row>
    <row r="98" spans="2:34" ht="12" customHeight="1" thickBot="1">
      <c r="B98" s="88">
        <v>12000000</v>
      </c>
      <c r="C98" s="116"/>
      <c r="D98" s="116" t="s">
        <v>223</v>
      </c>
      <c r="E98" s="78"/>
      <c r="G98" s="127"/>
      <c r="H98" s="127"/>
      <c r="I98" s="127"/>
      <c r="J98" s="127"/>
      <c r="K98" s="127">
        <f>($B$98-SUM($G$97:J97))*0.0475</f>
        <v>570000</v>
      </c>
      <c r="L98" s="127">
        <f>($B$98-SUM($G$97:K97))*0.0475</f>
        <v>467400</v>
      </c>
      <c r="M98" s="127">
        <f>($B$98-SUM($G$97:L97))*0.0475</f>
        <v>399000</v>
      </c>
      <c r="N98" s="127">
        <f>($B$98-SUM($G$97:M97))*0.0475</f>
        <v>376675</v>
      </c>
      <c r="O98" s="127">
        <f>($B$98-SUM($G$97:N97))*0.0475</f>
        <v>354350</v>
      </c>
      <c r="P98" s="127">
        <f>($B$98-SUM($G$97:O97))*0.0475</f>
        <v>332025</v>
      </c>
      <c r="Q98" s="127">
        <f>($B$98-SUM($G$97:P97))*0.0475</f>
        <v>309700</v>
      </c>
      <c r="R98" s="127">
        <f>($B$98-SUM($G$97:Q97))*0.0475</f>
        <v>287375</v>
      </c>
      <c r="S98" s="127">
        <f>($B$98-SUM($G$97:R97))*0.0475</f>
        <v>265050</v>
      </c>
      <c r="T98" s="127">
        <f>($B$98-SUM($G$97:S97))*0.0475</f>
        <v>242725</v>
      </c>
      <c r="U98" s="127">
        <f>($B$98-SUM($G$97:T97))*0.0475</f>
        <v>220400</v>
      </c>
      <c r="V98" s="127">
        <f>($B$98-SUM($G$97:U97))*0.0475</f>
        <v>198075</v>
      </c>
      <c r="W98" s="72"/>
      <c r="X98" s="127">
        <f>($B$98-SUM($G$97:V97))*0.0475</f>
        <v>175750</v>
      </c>
      <c r="Y98" s="127">
        <f>($B$98-SUM($G$97:W97))*0.0475</f>
        <v>175750</v>
      </c>
      <c r="Z98" s="127">
        <f>($B$98-SUM($G$97:X97))*0.0475</f>
        <v>153425</v>
      </c>
      <c r="AA98" s="127">
        <f>($B$98-SUM($G$97:Y97))*0.0475</f>
        <v>131100</v>
      </c>
      <c r="AB98" s="127">
        <f>($B$98-SUM($G$97:Z97))*0.0475</f>
        <v>108775</v>
      </c>
      <c r="AC98" s="127">
        <f>($B$98-SUM($G$97:AA97))*0.0475</f>
        <v>86450</v>
      </c>
      <c r="AD98" s="127">
        <f>($B$98-SUM($G$97:AB97))*0.0475</f>
        <v>64125</v>
      </c>
      <c r="AE98" s="127">
        <f>($B$98-SUM($G$97:AC97))*0.0475</f>
        <v>42750</v>
      </c>
      <c r="AF98" s="127"/>
      <c r="AG98" s="127"/>
      <c r="AH98" s="112">
        <f>SUM(G98:AE98)</f>
        <v>4960900</v>
      </c>
    </row>
    <row r="99" spans="2:34" ht="12" customHeight="1">
      <c r="B99" s="66"/>
      <c r="C99" s="116"/>
      <c r="D99" s="116"/>
      <c r="E99" s="78"/>
      <c r="G99" s="125"/>
      <c r="H99" s="90"/>
      <c r="I99" s="125"/>
      <c r="J99" s="125"/>
      <c r="K99" s="125">
        <f aca="true" t="shared" si="27" ref="K99:AA99">SUM(K97:K98)</f>
        <v>2730000</v>
      </c>
      <c r="L99" s="125">
        <f t="shared" si="27"/>
        <v>1907400</v>
      </c>
      <c r="M99" s="125">
        <f t="shared" si="27"/>
        <v>869000</v>
      </c>
      <c r="N99" s="125">
        <f t="shared" si="27"/>
        <v>846675</v>
      </c>
      <c r="O99" s="125">
        <f t="shared" si="27"/>
        <v>824350</v>
      </c>
      <c r="P99" s="125">
        <f t="shared" si="27"/>
        <v>802025</v>
      </c>
      <c r="Q99" s="125">
        <f t="shared" si="27"/>
        <v>779700</v>
      </c>
      <c r="R99" s="125">
        <f t="shared" si="27"/>
        <v>757375</v>
      </c>
      <c r="S99" s="125">
        <f t="shared" si="27"/>
        <v>735050</v>
      </c>
      <c r="T99" s="125">
        <f t="shared" si="27"/>
        <v>712725</v>
      </c>
      <c r="U99" s="125">
        <f t="shared" si="27"/>
        <v>690400</v>
      </c>
      <c r="V99" s="125">
        <f t="shared" si="27"/>
        <v>668075</v>
      </c>
      <c r="X99" s="125">
        <f>SUM(X97:X98)</f>
        <v>645750</v>
      </c>
      <c r="Y99" s="125">
        <f t="shared" si="27"/>
        <v>645750</v>
      </c>
      <c r="Z99" s="125">
        <f t="shared" si="27"/>
        <v>623425</v>
      </c>
      <c r="AA99" s="125">
        <f t="shared" si="27"/>
        <v>601100</v>
      </c>
      <c r="AB99" s="125">
        <f>SUM(AB97:AB98)</f>
        <v>578775</v>
      </c>
      <c r="AC99" s="125">
        <f>SUM(AC97:AC98)</f>
        <v>536450</v>
      </c>
      <c r="AD99" s="125">
        <f>SUM(AD97:AD98)</f>
        <v>514125</v>
      </c>
      <c r="AE99" s="125">
        <f>SUM(AE97:AE98)</f>
        <v>492750</v>
      </c>
      <c r="AF99" s="125"/>
      <c r="AG99" s="125"/>
      <c r="AH99" s="113">
        <f>SUM(G99:AE99)</f>
        <v>16960900</v>
      </c>
    </row>
    <row r="100" spans="2:34" ht="12" customHeight="1" thickBot="1">
      <c r="B100" s="66"/>
      <c r="C100" s="116"/>
      <c r="D100" s="116" t="s">
        <v>247</v>
      </c>
      <c r="E100" s="78"/>
      <c r="G100" s="114"/>
      <c r="H100" s="114"/>
      <c r="I100" s="114"/>
      <c r="J100" s="114"/>
      <c r="K100" s="114">
        <f>(K99/$I$1)*1000</f>
        <v>0.5474284762888826</v>
      </c>
      <c r="L100" s="114">
        <f>(L99/$I$1)*1000</f>
        <v>0.38247804969722143</v>
      </c>
      <c r="M100" s="114">
        <f>(M99/$I$1)*1000</f>
        <v>0.1742547054560582</v>
      </c>
      <c r="N100" s="114">
        <f aca="true" t="shared" si="28" ref="N100:AA100">(N99/$A$3)*1000</f>
        <v>0.22069398068392337</v>
      </c>
      <c r="O100" s="114">
        <f t="shared" si="28"/>
        <v>0.21487475474862522</v>
      </c>
      <c r="P100" s="114">
        <f t="shared" si="28"/>
        <v>0.209055528813327</v>
      </c>
      <c r="Q100" s="114">
        <f t="shared" si="28"/>
        <v>0.20323630287802885</v>
      </c>
      <c r="R100" s="114">
        <f t="shared" si="28"/>
        <v>0.19741707694273067</v>
      </c>
      <c r="S100" s="114">
        <f t="shared" si="28"/>
        <v>0.19159785100743246</v>
      </c>
      <c r="T100" s="114">
        <f t="shared" si="28"/>
        <v>0.1857786250721343</v>
      </c>
      <c r="U100" s="114">
        <f t="shared" si="28"/>
        <v>0.17995939913683612</v>
      </c>
      <c r="V100" s="114">
        <f t="shared" si="28"/>
        <v>0.1741401732015379</v>
      </c>
      <c r="W100" s="72"/>
      <c r="X100" s="114">
        <f>(X99/$A$3)*1000</f>
        <v>0.16832094726623975</v>
      </c>
      <c r="Y100" s="114">
        <f t="shared" si="28"/>
        <v>0.16832094726623975</v>
      </c>
      <c r="Z100" s="114">
        <f t="shared" si="28"/>
        <v>0.16250172133094154</v>
      </c>
      <c r="AA100" s="114">
        <f t="shared" si="28"/>
        <v>0.15668249539564338</v>
      </c>
      <c r="AB100" s="114">
        <f>(AB99/$A$3)*1000</f>
        <v>0.1508632694603452</v>
      </c>
      <c r="AC100" s="114">
        <f>(AC99/$A$3)*1000</f>
        <v>0.1398308511977922</v>
      </c>
      <c r="AD100" s="114">
        <f>(AD99/$A$3)*1000</f>
        <v>0.134011625262494</v>
      </c>
      <c r="AE100" s="114">
        <f>(AE99/$A$3)*1000</f>
        <v>0.12844002596274043</v>
      </c>
      <c r="AF100" s="114"/>
      <c r="AG100" s="114"/>
      <c r="AH100" s="115" t="s">
        <v>16</v>
      </c>
    </row>
    <row r="101" spans="2:5" ht="12" customHeight="1">
      <c r="B101" s="66"/>
      <c r="C101" s="116"/>
      <c r="D101" s="116"/>
      <c r="E101" s="78"/>
    </row>
    <row r="102" spans="2:5" ht="12" customHeight="1">
      <c r="B102" s="66"/>
      <c r="C102" s="116"/>
      <c r="D102" s="116"/>
      <c r="E102" s="78"/>
    </row>
    <row r="103" spans="2:34" ht="12" customHeight="1">
      <c r="B103" s="66" t="s">
        <v>258</v>
      </c>
      <c r="C103" s="116"/>
      <c r="D103" s="116" t="s">
        <v>222</v>
      </c>
      <c r="E103" s="78"/>
      <c r="K103" s="29">
        <v>290000</v>
      </c>
      <c r="L103" s="29">
        <v>290000</v>
      </c>
      <c r="M103" s="132">
        <v>4902900</v>
      </c>
      <c r="N103" s="29"/>
      <c r="O103" s="29"/>
      <c r="P103" s="29"/>
      <c r="Q103" s="29"/>
      <c r="R103" s="29"/>
      <c r="S103" s="29"/>
      <c r="T103" s="29"/>
      <c r="U103" s="29"/>
      <c r="V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113">
        <f>SUM(D103:AE103)</f>
        <v>5482900</v>
      </c>
    </row>
    <row r="104" spans="2:34" ht="12" customHeight="1" thickBot="1">
      <c r="B104" s="88">
        <v>5482900</v>
      </c>
      <c r="C104" s="116"/>
      <c r="D104" s="116" t="s">
        <v>223</v>
      </c>
      <c r="E104" s="78"/>
      <c r="G104" s="127"/>
      <c r="H104" s="127"/>
      <c r="I104" s="127"/>
      <c r="J104" s="127"/>
      <c r="K104" s="127">
        <f>($B$104-SUM($G$105:J105))*0.0475</f>
        <v>260437.75</v>
      </c>
      <c r="L104" s="127">
        <f>($B$104-SUM($G$105:K105))*0.0475</f>
        <v>234291.956875</v>
      </c>
      <c r="M104" s="127">
        <f>($B$104-SUM($G$105:L105))*0.0475</f>
        <v>209388.0889234375</v>
      </c>
      <c r="N104" s="127"/>
      <c r="O104" s="127"/>
      <c r="P104" s="127"/>
      <c r="Q104" s="127"/>
      <c r="R104" s="127"/>
      <c r="S104" s="127"/>
      <c r="T104" s="127"/>
      <c r="U104" s="127"/>
      <c r="V104" s="127"/>
      <c r="W104" s="72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12">
        <f>SUM(G104:AE104)</f>
        <v>704117.7957984376</v>
      </c>
    </row>
    <row r="105" spans="2:34" ht="12" customHeight="1">
      <c r="B105" s="66"/>
      <c r="C105" s="116"/>
      <c r="D105" s="116"/>
      <c r="E105" s="78"/>
      <c r="G105" s="125"/>
      <c r="H105" s="90"/>
      <c r="I105" s="125"/>
      <c r="J105" s="125"/>
      <c r="K105" s="125">
        <f>SUM(K103:K104)</f>
        <v>550437.75</v>
      </c>
      <c r="L105" s="125">
        <f>SUM(L103:L104)</f>
        <v>524291.956875</v>
      </c>
      <c r="M105" s="125">
        <f>SUM(M103:M104)</f>
        <v>5112288.0889234375</v>
      </c>
      <c r="N105" s="125"/>
      <c r="O105" s="125"/>
      <c r="P105" s="125"/>
      <c r="Q105" s="125"/>
      <c r="R105" s="125"/>
      <c r="S105" s="125"/>
      <c r="T105" s="125"/>
      <c r="U105" s="125"/>
      <c r="V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13">
        <f>SUM(G105:AE105)</f>
        <v>6187017.795798438</v>
      </c>
    </row>
    <row r="106" spans="2:34" ht="12" customHeight="1" thickBot="1">
      <c r="B106" s="66"/>
      <c r="C106" s="116"/>
      <c r="D106" s="116" t="s">
        <v>247</v>
      </c>
      <c r="E106" s="78"/>
      <c r="G106" s="114"/>
      <c r="H106" s="114"/>
      <c r="I106" s="114"/>
      <c r="J106" s="114"/>
      <c r="K106" s="114">
        <f>(K105/$I$1)*1000</f>
        <v>0.11037556731662301</v>
      </c>
      <c r="L106" s="114">
        <f>(L105/$I$1)*1000</f>
        <v>0.10513272786908343</v>
      </c>
      <c r="M106" s="114">
        <f>(M105/$I$1)*1000</f>
        <v>1.025132629622403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72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5" t="s">
        <v>16</v>
      </c>
    </row>
    <row r="107" spans="2:34" ht="12" customHeight="1">
      <c r="B107" s="66"/>
      <c r="C107" s="116"/>
      <c r="D107" s="116"/>
      <c r="E107" s="78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33"/>
    </row>
    <row r="108" spans="2:34" ht="12" customHeight="1">
      <c r="B108" s="66" t="s">
        <v>259</v>
      </c>
      <c r="C108" s="116"/>
      <c r="D108" s="116" t="s">
        <v>222</v>
      </c>
      <c r="E108" s="78"/>
      <c r="G108" s="110"/>
      <c r="H108" s="110"/>
      <c r="I108" s="110"/>
      <c r="J108" s="110"/>
      <c r="K108" s="110"/>
      <c r="L108" s="110"/>
      <c r="M108" s="29">
        <v>2000000</v>
      </c>
      <c r="N108" s="29">
        <v>2000000</v>
      </c>
      <c r="O108" s="29">
        <v>2000000</v>
      </c>
      <c r="P108" s="29">
        <v>2000000</v>
      </c>
      <c r="Q108" s="29">
        <v>2000000</v>
      </c>
      <c r="R108" s="29">
        <v>2000000</v>
      </c>
      <c r="S108" s="29">
        <v>2000000</v>
      </c>
      <c r="T108" s="29">
        <v>2000000</v>
      </c>
      <c r="U108" s="29">
        <v>2000000</v>
      </c>
      <c r="V108" s="29">
        <v>2000000</v>
      </c>
      <c r="X108" s="29">
        <v>2000000</v>
      </c>
      <c r="Y108" s="29">
        <v>2000000</v>
      </c>
      <c r="Z108" s="29">
        <v>2000000</v>
      </c>
      <c r="AA108" s="29">
        <v>2000000</v>
      </c>
      <c r="AB108" s="29">
        <v>2000000</v>
      </c>
      <c r="AC108" s="29">
        <v>2000000</v>
      </c>
      <c r="AD108" s="29">
        <v>2000000</v>
      </c>
      <c r="AE108" s="29">
        <v>2000000</v>
      </c>
      <c r="AF108" s="29">
        <v>2000000</v>
      </c>
      <c r="AG108" s="29">
        <v>2000000</v>
      </c>
      <c r="AH108" s="113">
        <f>SUM(G108:AG108)</f>
        <v>40000000</v>
      </c>
    </row>
    <row r="109" spans="2:34" ht="12" customHeight="1" thickBot="1">
      <c r="B109" s="88">
        <v>40000000</v>
      </c>
      <c r="C109" s="116"/>
      <c r="D109" s="116" t="s">
        <v>223</v>
      </c>
      <c r="E109" s="78"/>
      <c r="G109" s="114"/>
      <c r="H109" s="114"/>
      <c r="I109" s="114"/>
      <c r="J109" s="114"/>
      <c r="K109" s="114"/>
      <c r="L109" s="114"/>
      <c r="M109" s="127">
        <f>($B$109-SUM($G$108:L108))*0.0475</f>
        <v>1900000</v>
      </c>
      <c r="N109" s="127">
        <f>($B$109-SUM($G$108:M108))*0.0475</f>
        <v>1805000</v>
      </c>
      <c r="O109" s="127">
        <f>($B$109-SUM($G$108:N108))*0.0475</f>
        <v>1710000</v>
      </c>
      <c r="P109" s="127">
        <f>($B$109-SUM($G$108:O108))*0.0475</f>
        <v>1615000</v>
      </c>
      <c r="Q109" s="127">
        <f>($B$109-SUM($G$108:P108))*0.0475</f>
        <v>1520000</v>
      </c>
      <c r="R109" s="127">
        <f>($B$109-SUM($G$108:Q108))*0.0475</f>
        <v>1425000</v>
      </c>
      <c r="S109" s="127">
        <f>($B$109-SUM($G$108:R108))*0.0475</f>
        <v>1330000</v>
      </c>
      <c r="T109" s="127">
        <f>($B$109-SUM($G$108:S108))*0.0475</f>
        <v>1235000</v>
      </c>
      <c r="U109" s="127">
        <f>($B$109-SUM($G$108:T108))*0.0475</f>
        <v>1140000</v>
      </c>
      <c r="V109" s="127">
        <f>($B$109-SUM($G$108:U108))*0.0475</f>
        <v>1045000</v>
      </c>
      <c r="W109" s="72"/>
      <c r="X109" s="127">
        <f>($B$109-SUM($G$108:V108))*0.0475</f>
        <v>950000</v>
      </c>
      <c r="Y109" s="127">
        <f>($B$109-SUM($G$108:W108))*0.0475</f>
        <v>950000</v>
      </c>
      <c r="Z109" s="127">
        <f>($B$109-SUM($G$108:X108))*0.0475</f>
        <v>855000</v>
      </c>
      <c r="AA109" s="127">
        <f>($B$109-SUM($G$108:Y108))*0.0475</f>
        <v>760000</v>
      </c>
      <c r="AB109" s="127">
        <f>($B$109-SUM($G$108:Z108))*0.0475</f>
        <v>665000</v>
      </c>
      <c r="AC109" s="127">
        <f>($B$109-SUM($G$108:AA108))*0.0475</f>
        <v>570000</v>
      </c>
      <c r="AD109" s="127">
        <f>($B$109-SUM($G$108:AB108))*0.0475</f>
        <v>475000</v>
      </c>
      <c r="AE109" s="127">
        <f>($B$109-SUM($G$108:AC108))*0.0475</f>
        <v>380000</v>
      </c>
      <c r="AF109" s="127">
        <f>($B$109-SUM($G$108:AD108))*0.0475</f>
        <v>285000</v>
      </c>
      <c r="AG109" s="127">
        <f>($B$109-SUM($G$108:AE108))*0.0475</f>
        <v>190000</v>
      </c>
      <c r="AH109" s="112">
        <f>SUM(G109:AG109)</f>
        <v>20805000</v>
      </c>
    </row>
    <row r="110" spans="2:34" ht="12" customHeight="1">
      <c r="B110" s="66"/>
      <c r="C110" s="116"/>
      <c r="D110" s="116"/>
      <c r="E110" s="78"/>
      <c r="G110" s="110"/>
      <c r="H110" s="110"/>
      <c r="I110" s="110"/>
      <c r="J110" s="110"/>
      <c r="K110" s="110"/>
      <c r="L110" s="110"/>
      <c r="M110" s="125">
        <f aca="true" t="shared" si="29" ref="M110:AG110">SUM(M108:M109)</f>
        <v>3900000</v>
      </c>
      <c r="N110" s="125">
        <f t="shared" si="29"/>
        <v>3805000</v>
      </c>
      <c r="O110" s="125">
        <f t="shared" si="29"/>
        <v>3710000</v>
      </c>
      <c r="P110" s="125">
        <f t="shared" si="29"/>
        <v>3615000</v>
      </c>
      <c r="Q110" s="125">
        <f t="shared" si="29"/>
        <v>3520000</v>
      </c>
      <c r="R110" s="125">
        <f t="shared" si="29"/>
        <v>3425000</v>
      </c>
      <c r="S110" s="125">
        <f t="shared" si="29"/>
        <v>3330000</v>
      </c>
      <c r="T110" s="125">
        <f t="shared" si="29"/>
        <v>3235000</v>
      </c>
      <c r="U110" s="125">
        <f t="shared" si="29"/>
        <v>3140000</v>
      </c>
      <c r="V110" s="125">
        <f t="shared" si="29"/>
        <v>3045000</v>
      </c>
      <c r="X110" s="125">
        <f>SUM(X108:X109)</f>
        <v>2950000</v>
      </c>
      <c r="Y110" s="125">
        <f t="shared" si="29"/>
        <v>2950000</v>
      </c>
      <c r="Z110" s="125">
        <f t="shared" si="29"/>
        <v>2855000</v>
      </c>
      <c r="AA110" s="125">
        <f t="shared" si="29"/>
        <v>2760000</v>
      </c>
      <c r="AB110" s="125">
        <f t="shared" si="29"/>
        <v>2665000</v>
      </c>
      <c r="AC110" s="125">
        <f t="shared" si="29"/>
        <v>2570000</v>
      </c>
      <c r="AD110" s="125">
        <f t="shared" si="29"/>
        <v>2475000</v>
      </c>
      <c r="AE110" s="125">
        <f t="shared" si="29"/>
        <v>2380000</v>
      </c>
      <c r="AF110" s="125">
        <f t="shared" si="29"/>
        <v>2285000</v>
      </c>
      <c r="AG110" s="125">
        <f t="shared" si="29"/>
        <v>2190000</v>
      </c>
      <c r="AH110" s="113">
        <f>SUM(G110:AG110)</f>
        <v>60805000</v>
      </c>
    </row>
    <row r="111" spans="2:34" ht="12" customHeight="1" thickBot="1">
      <c r="B111" s="66"/>
      <c r="C111" s="116"/>
      <c r="D111" s="116" t="s">
        <v>247</v>
      </c>
      <c r="E111" s="78"/>
      <c r="G111" s="114"/>
      <c r="H111" s="114"/>
      <c r="I111" s="114"/>
      <c r="J111" s="114"/>
      <c r="K111" s="114"/>
      <c r="L111" s="114"/>
      <c r="M111" s="114">
        <f>(M110/$I$1)*1000</f>
        <v>0.7820406804126893</v>
      </c>
      <c r="N111" s="114">
        <f aca="true" t="shared" si="30" ref="N111:AG111">(N110/$A$3)*1000</f>
        <v>0.9918098402602279</v>
      </c>
      <c r="O111" s="114">
        <f t="shared" si="30"/>
        <v>0.9670471767057676</v>
      </c>
      <c r="P111" s="114">
        <f t="shared" si="30"/>
        <v>0.9422845131513073</v>
      </c>
      <c r="Q111" s="114">
        <f t="shared" si="30"/>
        <v>0.9175218495968469</v>
      </c>
      <c r="R111" s="114">
        <f t="shared" si="30"/>
        <v>0.8927591860423865</v>
      </c>
      <c r="S111" s="114">
        <f t="shared" si="30"/>
        <v>0.8679965224879261</v>
      </c>
      <c r="T111" s="114">
        <f t="shared" si="30"/>
        <v>0.8432338589334658</v>
      </c>
      <c r="U111" s="114">
        <f t="shared" si="30"/>
        <v>0.8184711953790055</v>
      </c>
      <c r="V111" s="114">
        <f t="shared" si="30"/>
        <v>0.793708531824545</v>
      </c>
      <c r="W111" s="72"/>
      <c r="X111" s="114">
        <f>(X110/$A$3)*1000</f>
        <v>0.7689458682700848</v>
      </c>
      <c r="Y111" s="114">
        <f t="shared" si="30"/>
        <v>0.7689458682700848</v>
      </c>
      <c r="Z111" s="114">
        <f t="shared" si="30"/>
        <v>0.7441832047156244</v>
      </c>
      <c r="AA111" s="114">
        <f t="shared" si="30"/>
        <v>0.719420541161164</v>
      </c>
      <c r="AB111" s="114">
        <f t="shared" si="30"/>
        <v>0.6946578776067037</v>
      </c>
      <c r="AC111" s="114">
        <f t="shared" si="30"/>
        <v>0.6698952140522434</v>
      </c>
      <c r="AD111" s="114">
        <f t="shared" si="30"/>
        <v>0.645132550497783</v>
      </c>
      <c r="AE111" s="114">
        <f t="shared" si="30"/>
        <v>0.6203698869433226</v>
      </c>
      <c r="AF111" s="114">
        <f t="shared" si="30"/>
        <v>0.5956072233888623</v>
      </c>
      <c r="AG111" s="114">
        <f t="shared" si="30"/>
        <v>0.5708445598344019</v>
      </c>
      <c r="AH111" s="115" t="s">
        <v>16</v>
      </c>
    </row>
    <row r="112" spans="2:33" ht="12" customHeight="1">
      <c r="B112" s="66"/>
      <c r="C112" s="116"/>
      <c r="D112" s="116"/>
      <c r="E112" s="78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</row>
    <row r="113" spans="1:34" ht="12" customHeight="1">
      <c r="A113" s="14" t="s">
        <v>260</v>
      </c>
      <c r="B113" s="66"/>
      <c r="C113" s="116"/>
      <c r="D113" s="116"/>
      <c r="E113" s="78"/>
      <c r="F113" s="29"/>
      <c r="G113" s="134"/>
      <c r="H113" s="134">
        <f>SUM(H87,,H93,H99,H105,H110)</f>
        <v>0</v>
      </c>
      <c r="I113" s="134">
        <f aca="true" t="shared" si="31" ref="I113:AH113">SUM(I87,,I93,I99,I105,I110)</f>
        <v>0</v>
      </c>
      <c r="J113" s="134">
        <f t="shared" si="31"/>
        <v>0</v>
      </c>
      <c r="K113" s="134">
        <f t="shared" si="31"/>
        <v>4918437.75</v>
      </c>
      <c r="L113" s="134">
        <f t="shared" si="31"/>
        <v>4029791.956875</v>
      </c>
      <c r="M113" s="134">
        <f t="shared" si="31"/>
        <v>11439488.088923438</v>
      </c>
      <c r="N113" s="134">
        <f t="shared" si="31"/>
        <v>6169975</v>
      </c>
      <c r="O113" s="134">
        <f t="shared" si="31"/>
        <v>6012750</v>
      </c>
      <c r="P113" s="134">
        <f t="shared" si="31"/>
        <v>5855525</v>
      </c>
      <c r="Q113" s="134">
        <f t="shared" si="31"/>
        <v>5698300</v>
      </c>
      <c r="R113" s="134">
        <f t="shared" si="31"/>
        <v>5541075</v>
      </c>
      <c r="S113" s="134">
        <f t="shared" si="31"/>
        <v>5383850</v>
      </c>
      <c r="T113" s="134">
        <f t="shared" si="31"/>
        <v>5226625</v>
      </c>
      <c r="U113" s="134">
        <f t="shared" si="31"/>
        <v>5069400</v>
      </c>
      <c r="V113" s="134">
        <f t="shared" si="31"/>
        <v>4912175</v>
      </c>
      <c r="W113" s="134">
        <f t="shared" si="31"/>
        <v>0</v>
      </c>
      <c r="X113" s="134">
        <f t="shared" si="31"/>
        <v>4754950</v>
      </c>
      <c r="Y113" s="134">
        <f t="shared" si="31"/>
        <v>4754950</v>
      </c>
      <c r="Z113" s="134">
        <f t="shared" si="31"/>
        <v>4597725</v>
      </c>
      <c r="AA113" s="134">
        <f t="shared" si="31"/>
        <v>4440500</v>
      </c>
      <c r="AB113" s="134">
        <f t="shared" si="31"/>
        <v>4283275</v>
      </c>
      <c r="AC113" s="134">
        <f t="shared" si="31"/>
        <v>4106050</v>
      </c>
      <c r="AD113" s="134">
        <f t="shared" si="31"/>
        <v>3948825</v>
      </c>
      <c r="AE113" s="134">
        <f t="shared" si="31"/>
        <v>3792550</v>
      </c>
      <c r="AF113" s="134">
        <f t="shared" si="31"/>
        <v>2285000</v>
      </c>
      <c r="AG113" s="134">
        <f t="shared" si="31"/>
        <v>2190000</v>
      </c>
      <c r="AH113" s="134">
        <f t="shared" si="31"/>
        <v>109411217.79579844</v>
      </c>
    </row>
    <row r="114" spans="1:34" s="138" customFormat="1" ht="12" customHeight="1" thickBot="1">
      <c r="A114" s="135" t="s">
        <v>247</v>
      </c>
      <c r="B114" s="67"/>
      <c r="C114" s="136"/>
      <c r="D114" s="136"/>
      <c r="E114" s="137"/>
      <c r="G114" s="139"/>
      <c r="H114" s="139">
        <f>SUM(,H94,H100,H106,G111)</f>
        <v>0</v>
      </c>
      <c r="I114" s="139">
        <f aca="true" t="shared" si="32" ref="I114:AH114">SUM(,I94,I100,I106,H111)</f>
        <v>0</v>
      </c>
      <c r="J114" s="139">
        <f t="shared" si="32"/>
        <v>0</v>
      </c>
      <c r="K114" s="139">
        <f t="shared" si="32"/>
        <v>0.9862611293788351</v>
      </c>
      <c r="L114" s="139">
        <f t="shared" si="32"/>
        <v>0.8080669856092584</v>
      </c>
      <c r="M114" s="139">
        <f t="shared" si="32"/>
        <v>1.5118426653910388</v>
      </c>
      <c r="N114" s="139">
        <f t="shared" si="32"/>
        <v>1.3984941566201616</v>
      </c>
      <c r="O114" s="139">
        <f t="shared" si="32"/>
        <v>1.5920437718395288</v>
      </c>
      <c r="P114" s="139">
        <f t="shared" si="32"/>
        <v>1.551061563656897</v>
      </c>
      <c r="Q114" s="139">
        <f t="shared" si="32"/>
        <v>1.5100793554742653</v>
      </c>
      <c r="R114" s="139">
        <f t="shared" si="32"/>
        <v>1.4690971472916332</v>
      </c>
      <c r="S114" s="139">
        <f t="shared" si="32"/>
        <v>1.4281149391090011</v>
      </c>
      <c r="T114" s="139">
        <f t="shared" si="32"/>
        <v>1.3871327309263695</v>
      </c>
      <c r="U114" s="139">
        <f t="shared" si="32"/>
        <v>1.3461505227437376</v>
      </c>
      <c r="V114" s="139">
        <f t="shared" si="32"/>
        <v>1.3051683145611057</v>
      </c>
      <c r="W114" s="139">
        <f t="shared" si="32"/>
        <v>0.793708531824545</v>
      </c>
      <c r="X114" s="139">
        <f t="shared" si="32"/>
        <v>0.47047757455392863</v>
      </c>
      <c r="Y114" s="139">
        <f t="shared" si="32"/>
        <v>1.2394234428240134</v>
      </c>
      <c r="Z114" s="139">
        <f t="shared" si="32"/>
        <v>1.223203898195842</v>
      </c>
      <c r="AA114" s="139">
        <f t="shared" si="32"/>
        <v>1.1822216900132099</v>
      </c>
      <c r="AB114" s="139">
        <f t="shared" si="32"/>
        <v>1.1412394818305782</v>
      </c>
      <c r="AC114" s="139">
        <f t="shared" si="32"/>
        <v>1.0950440813206914</v>
      </c>
      <c r="AD114" s="139">
        <f t="shared" si="32"/>
        <v>1.0540618731380595</v>
      </c>
      <c r="AE114" s="139">
        <f t="shared" si="32"/>
        <v>1.0133272915909721</v>
      </c>
      <c r="AF114" s="139">
        <f t="shared" si="32"/>
        <v>0.6203698869433226</v>
      </c>
      <c r="AG114" s="139">
        <f t="shared" si="32"/>
        <v>0.5956072233888623</v>
      </c>
      <c r="AH114" s="139">
        <f t="shared" si="32"/>
        <v>0.5708445598344019</v>
      </c>
    </row>
    <row r="115" spans="1:34" s="138" customFormat="1" ht="12" customHeight="1" thickBot="1">
      <c r="A115" s="135"/>
      <c r="B115" s="67"/>
      <c r="C115" s="136"/>
      <c r="D115" s="136"/>
      <c r="E115" s="137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40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63" t="s">
        <v>217</v>
      </c>
    </row>
    <row r="116" spans="2:34" ht="12" customHeight="1" thickBot="1">
      <c r="B116" s="66"/>
      <c r="C116" s="116"/>
      <c r="D116" s="116"/>
      <c r="E116" s="78"/>
      <c r="F116" s="65">
        <v>2002</v>
      </c>
      <c r="G116" s="65">
        <v>2003</v>
      </c>
      <c r="H116" s="65">
        <v>2004</v>
      </c>
      <c r="I116" s="65">
        <v>2005</v>
      </c>
      <c r="J116" s="65">
        <v>2006</v>
      </c>
      <c r="K116" s="65">
        <v>2007</v>
      </c>
      <c r="L116" s="65">
        <v>2008</v>
      </c>
      <c r="M116" s="65">
        <v>2009</v>
      </c>
      <c r="N116" s="65">
        <v>2010</v>
      </c>
      <c r="O116" s="65">
        <v>2011</v>
      </c>
      <c r="P116" s="65">
        <v>2012</v>
      </c>
      <c r="Q116" s="65">
        <v>2013</v>
      </c>
      <c r="R116" s="65">
        <v>2014</v>
      </c>
      <c r="S116" s="65">
        <v>2015</v>
      </c>
      <c r="T116" s="65">
        <v>2016</v>
      </c>
      <c r="U116" s="65">
        <v>2017</v>
      </c>
      <c r="V116" s="65">
        <v>2018</v>
      </c>
      <c r="W116" s="101"/>
      <c r="X116" s="65">
        <v>2019</v>
      </c>
      <c r="Y116" s="65">
        <v>2020</v>
      </c>
      <c r="Z116" s="65">
        <v>2021</v>
      </c>
      <c r="AA116" s="65">
        <v>2022</v>
      </c>
      <c r="AB116" s="65">
        <v>2023</v>
      </c>
      <c r="AC116" s="65">
        <v>2024</v>
      </c>
      <c r="AD116" s="65">
        <v>2025</v>
      </c>
      <c r="AE116" s="65">
        <v>2026</v>
      </c>
      <c r="AF116" s="65">
        <v>2027</v>
      </c>
      <c r="AG116" s="65">
        <v>2028</v>
      </c>
      <c r="AH116" s="65" t="s">
        <v>139</v>
      </c>
    </row>
    <row r="117" spans="1:5" ht="12" customHeight="1">
      <c r="A117" s="14" t="s">
        <v>261</v>
      </c>
      <c r="B117" s="66"/>
      <c r="C117" s="116"/>
      <c r="D117" s="116"/>
      <c r="E117" s="78"/>
    </row>
    <row r="118" spans="1:6" ht="12" customHeight="1">
      <c r="A118" s="14"/>
      <c r="B118" s="66"/>
      <c r="C118" s="116"/>
      <c r="D118" s="116"/>
      <c r="E118" s="78"/>
      <c r="F118" s="29"/>
    </row>
    <row r="119" spans="2:5" ht="12" customHeight="1">
      <c r="B119" s="66"/>
      <c r="C119" s="116"/>
      <c r="D119" s="116"/>
      <c r="E119" s="78"/>
    </row>
    <row r="120" spans="1:34" ht="12" customHeight="1">
      <c r="A120" s="324" t="s">
        <v>408</v>
      </c>
      <c r="B120" s="321" t="s">
        <v>262</v>
      </c>
      <c r="C120" s="322"/>
      <c r="D120" s="322"/>
      <c r="E120" s="78"/>
      <c r="K120" s="29">
        <f>$B$121/20</f>
        <v>636457.5</v>
      </c>
      <c r="L120" s="29">
        <f aca="true" t="shared" si="33" ref="L120:AE120">$B$121/20</f>
        <v>636457.5</v>
      </c>
      <c r="M120" s="29">
        <f t="shared" si="33"/>
        <v>636457.5</v>
      </c>
      <c r="N120" s="29">
        <f t="shared" si="33"/>
        <v>636457.5</v>
      </c>
      <c r="O120" s="29">
        <f t="shared" si="33"/>
        <v>636457.5</v>
      </c>
      <c r="P120" s="29">
        <f t="shared" si="33"/>
        <v>636457.5</v>
      </c>
      <c r="Q120" s="29">
        <f t="shared" si="33"/>
        <v>636457.5</v>
      </c>
      <c r="R120" s="29">
        <f t="shared" si="33"/>
        <v>636457.5</v>
      </c>
      <c r="S120" s="29">
        <f t="shared" si="33"/>
        <v>636457.5</v>
      </c>
      <c r="T120" s="29">
        <f t="shared" si="33"/>
        <v>636457.5</v>
      </c>
      <c r="U120" s="29">
        <f t="shared" si="33"/>
        <v>636457.5</v>
      </c>
      <c r="V120" s="29">
        <f t="shared" si="33"/>
        <v>636457.5</v>
      </c>
      <c r="X120" s="29">
        <f t="shared" si="33"/>
        <v>636457.5</v>
      </c>
      <c r="Y120" s="29">
        <f t="shared" si="33"/>
        <v>636457.5</v>
      </c>
      <c r="Z120" s="29">
        <f t="shared" si="33"/>
        <v>636457.5</v>
      </c>
      <c r="AA120" s="29">
        <f t="shared" si="33"/>
        <v>636457.5</v>
      </c>
      <c r="AB120" s="29">
        <f t="shared" si="33"/>
        <v>636457.5</v>
      </c>
      <c r="AC120" s="29">
        <f t="shared" si="33"/>
        <v>636457.5</v>
      </c>
      <c r="AD120" s="29">
        <f t="shared" si="33"/>
        <v>636457.5</v>
      </c>
      <c r="AE120" s="29">
        <f t="shared" si="33"/>
        <v>636457.5</v>
      </c>
      <c r="AF120" s="29"/>
      <c r="AG120" s="29"/>
      <c r="AH120" s="113">
        <f>SUM(G120:AE120)</f>
        <v>12729150</v>
      </c>
    </row>
    <row r="121" spans="1:34" ht="12" customHeight="1" thickBot="1">
      <c r="A121" s="324" t="s">
        <v>409</v>
      </c>
      <c r="B121" s="323">
        <f>AH93/2</f>
        <v>12729150</v>
      </c>
      <c r="C121" s="322"/>
      <c r="D121" s="322" t="s">
        <v>247</v>
      </c>
      <c r="E121" s="78"/>
      <c r="G121" s="72"/>
      <c r="H121" s="72"/>
      <c r="I121" s="72"/>
      <c r="J121" s="72"/>
      <c r="K121" s="114">
        <f>-(K120/$I$1)*1000</f>
        <v>-0.12762452727019466</v>
      </c>
      <c r="L121" s="114">
        <f>-(L120/$I$1)*1000</f>
        <v>-0.12762452727019466</v>
      </c>
      <c r="M121" s="114">
        <f>-(M120/$I$1)*1000</f>
        <v>-0.12762452727019466</v>
      </c>
      <c r="N121" s="114">
        <f aca="true" t="shared" si="34" ref="N121:AG121">-(N120/$A$3)*1000</f>
        <v>-0.16589876778118898</v>
      </c>
      <c r="O121" s="114">
        <f t="shared" si="34"/>
        <v>-0.16589876778118898</v>
      </c>
      <c r="P121" s="114">
        <f t="shared" si="34"/>
        <v>-0.16589876778118898</v>
      </c>
      <c r="Q121" s="114">
        <f t="shared" si="34"/>
        <v>-0.16589876778118898</v>
      </c>
      <c r="R121" s="114">
        <f t="shared" si="34"/>
        <v>-0.16589876778118898</v>
      </c>
      <c r="S121" s="114">
        <f t="shared" si="34"/>
        <v>-0.16589876778118898</v>
      </c>
      <c r="T121" s="114">
        <f t="shared" si="34"/>
        <v>-0.16589876778118898</v>
      </c>
      <c r="U121" s="114">
        <f t="shared" si="34"/>
        <v>-0.16589876778118898</v>
      </c>
      <c r="V121" s="114">
        <f t="shared" si="34"/>
        <v>-0.16589876778118898</v>
      </c>
      <c r="W121" s="114">
        <f t="shared" si="34"/>
        <v>0</v>
      </c>
      <c r="X121" s="114">
        <f t="shared" si="34"/>
        <v>-0.16589876778118898</v>
      </c>
      <c r="Y121" s="114">
        <f t="shared" si="34"/>
        <v>-0.16589876778118898</v>
      </c>
      <c r="Z121" s="114">
        <f t="shared" si="34"/>
        <v>-0.16589876778118898</v>
      </c>
      <c r="AA121" s="114">
        <f t="shared" si="34"/>
        <v>-0.16589876778118898</v>
      </c>
      <c r="AB121" s="114">
        <f t="shared" si="34"/>
        <v>-0.16589876778118898</v>
      </c>
      <c r="AC121" s="114">
        <f t="shared" si="34"/>
        <v>-0.16589876778118898</v>
      </c>
      <c r="AD121" s="114">
        <f t="shared" si="34"/>
        <v>-0.16589876778118898</v>
      </c>
      <c r="AE121" s="114">
        <f t="shared" si="34"/>
        <v>-0.16589876778118898</v>
      </c>
      <c r="AF121" s="114">
        <f t="shared" si="34"/>
        <v>0</v>
      </c>
      <c r="AG121" s="114">
        <f t="shared" si="34"/>
        <v>0</v>
      </c>
      <c r="AH121" s="114" t="s">
        <v>16</v>
      </c>
    </row>
    <row r="122" spans="1:34" ht="12" customHeight="1">
      <c r="A122" s="324" t="s">
        <v>410</v>
      </c>
      <c r="B122" s="323"/>
      <c r="C122" s="322"/>
      <c r="D122" s="322"/>
      <c r="E122" s="78"/>
      <c r="G122" s="78"/>
      <c r="H122" s="78"/>
      <c r="I122" s="78"/>
      <c r="J122" s="78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33"/>
    </row>
    <row r="123" spans="1:34" ht="12" customHeight="1">
      <c r="A123" s="324" t="s">
        <v>411</v>
      </c>
      <c r="B123" s="323" t="s">
        <v>263</v>
      </c>
      <c r="C123" s="322"/>
      <c r="D123" s="322"/>
      <c r="E123" s="78"/>
      <c r="G123" s="78"/>
      <c r="H123" s="78"/>
      <c r="I123" s="78"/>
      <c r="J123" s="78"/>
      <c r="K123" s="110"/>
      <c r="L123" s="110" t="s">
        <v>16</v>
      </c>
      <c r="M123" s="29">
        <v>0</v>
      </c>
      <c r="N123" s="29">
        <v>0</v>
      </c>
      <c r="O123" s="29"/>
      <c r="P123" s="29">
        <f>$B$124/17</f>
        <v>1788382.3529411764</v>
      </c>
      <c r="Q123" s="29">
        <f aca="true" t="shared" si="35" ref="Q123:V123">$B$124/17</f>
        <v>1788382.3529411764</v>
      </c>
      <c r="R123" s="29">
        <f t="shared" si="35"/>
        <v>1788382.3529411764</v>
      </c>
      <c r="S123" s="29">
        <f t="shared" si="35"/>
        <v>1788382.3529411764</v>
      </c>
      <c r="T123" s="29">
        <f t="shared" si="35"/>
        <v>1788382.3529411764</v>
      </c>
      <c r="U123" s="29">
        <f t="shared" si="35"/>
        <v>1788382.3529411764</v>
      </c>
      <c r="V123" s="29">
        <f t="shared" si="35"/>
        <v>1788382.3529411764</v>
      </c>
      <c r="X123" s="29">
        <f aca="true" t="shared" si="36" ref="X123:AG123">$B$124/17</f>
        <v>1788382.3529411764</v>
      </c>
      <c r="Y123" s="29">
        <f t="shared" si="36"/>
        <v>1788382.3529411764</v>
      </c>
      <c r="Z123" s="29">
        <f t="shared" si="36"/>
        <v>1788382.3529411764</v>
      </c>
      <c r="AA123" s="29">
        <f t="shared" si="36"/>
        <v>1788382.3529411764</v>
      </c>
      <c r="AB123" s="29">
        <f t="shared" si="36"/>
        <v>1788382.3529411764</v>
      </c>
      <c r="AC123" s="29">
        <f t="shared" si="36"/>
        <v>1788382.3529411764</v>
      </c>
      <c r="AD123" s="29">
        <f t="shared" si="36"/>
        <v>1788382.3529411764</v>
      </c>
      <c r="AE123" s="29">
        <f t="shared" si="36"/>
        <v>1788382.3529411764</v>
      </c>
      <c r="AF123" s="29">
        <f t="shared" si="36"/>
        <v>1788382.3529411764</v>
      </c>
      <c r="AG123" s="29">
        <f t="shared" si="36"/>
        <v>1788382.3529411764</v>
      </c>
      <c r="AH123" s="113">
        <f>SUM(G123:AG123)</f>
        <v>30402500.000000007</v>
      </c>
    </row>
    <row r="124" spans="1:34" ht="12" customHeight="1" thickBot="1">
      <c r="A124" s="324" t="s">
        <v>412</v>
      </c>
      <c r="B124" s="323">
        <f>AH110/2</f>
        <v>30402500</v>
      </c>
      <c r="C124" s="322"/>
      <c r="D124" s="322" t="s">
        <v>247</v>
      </c>
      <c r="E124" s="78"/>
      <c r="G124" s="72"/>
      <c r="H124" s="72"/>
      <c r="I124" s="72"/>
      <c r="J124" s="72"/>
      <c r="K124" s="114"/>
      <c r="L124" s="114" t="s">
        <v>16</v>
      </c>
      <c r="M124" s="114">
        <f>-(M123/$A$3)*1000</f>
        <v>0</v>
      </c>
      <c r="N124" s="114">
        <f aca="true" t="shared" si="37" ref="N124:AG124">-(N123/$A$3)*1000</f>
        <v>0</v>
      </c>
      <c r="O124" s="114">
        <f t="shared" si="37"/>
        <v>0</v>
      </c>
      <c r="P124" s="114">
        <f t="shared" si="37"/>
        <v>-0.46615905802754243</v>
      </c>
      <c r="Q124" s="114">
        <f t="shared" si="37"/>
        <v>-0.46615905802754243</v>
      </c>
      <c r="R124" s="114">
        <f t="shared" si="37"/>
        <v>-0.46615905802754243</v>
      </c>
      <c r="S124" s="114">
        <f t="shared" si="37"/>
        <v>-0.46615905802754243</v>
      </c>
      <c r="T124" s="114">
        <f t="shared" si="37"/>
        <v>-0.46615905802754243</v>
      </c>
      <c r="U124" s="114">
        <f t="shared" si="37"/>
        <v>-0.46615905802754243</v>
      </c>
      <c r="V124" s="114">
        <f t="shared" si="37"/>
        <v>-0.46615905802754243</v>
      </c>
      <c r="W124" s="114">
        <f t="shared" si="37"/>
        <v>0</v>
      </c>
      <c r="X124" s="114">
        <f t="shared" si="37"/>
        <v>-0.46615905802754243</v>
      </c>
      <c r="Y124" s="114">
        <f t="shared" si="37"/>
        <v>-0.46615905802754243</v>
      </c>
      <c r="Z124" s="114">
        <f t="shared" si="37"/>
        <v>-0.46615905802754243</v>
      </c>
      <c r="AA124" s="114">
        <f t="shared" si="37"/>
        <v>-0.46615905802754243</v>
      </c>
      <c r="AB124" s="114">
        <f t="shared" si="37"/>
        <v>-0.46615905802754243</v>
      </c>
      <c r="AC124" s="114">
        <f t="shared" si="37"/>
        <v>-0.46615905802754243</v>
      </c>
      <c r="AD124" s="114">
        <f t="shared" si="37"/>
        <v>-0.46615905802754243</v>
      </c>
      <c r="AE124" s="114">
        <f t="shared" si="37"/>
        <v>-0.46615905802754243</v>
      </c>
      <c r="AF124" s="114">
        <f t="shared" si="37"/>
        <v>-0.46615905802754243</v>
      </c>
      <c r="AG124" s="114">
        <f t="shared" si="37"/>
        <v>-0.46615905802754243</v>
      </c>
      <c r="AH124" s="114" t="s">
        <v>16</v>
      </c>
    </row>
    <row r="125" spans="2:5" ht="12" customHeight="1">
      <c r="B125" s="66"/>
      <c r="C125" s="116"/>
      <c r="D125" s="116"/>
      <c r="E125" s="78"/>
    </row>
    <row r="126" spans="2:11" ht="12" customHeight="1">
      <c r="B126" s="14" t="s">
        <v>264</v>
      </c>
      <c r="G126" s="110"/>
      <c r="H126" s="110"/>
      <c r="I126" s="110"/>
      <c r="J126" s="110"/>
      <c r="K126" s="110"/>
    </row>
    <row r="127" spans="2:34" ht="12" customHeight="1">
      <c r="B127" s="107">
        <v>3900000</v>
      </c>
      <c r="G127" s="110"/>
      <c r="H127" s="110"/>
      <c r="I127" s="110"/>
      <c r="J127" s="110"/>
      <c r="K127" s="142">
        <v>500000</v>
      </c>
      <c r="L127" s="142">
        <v>0</v>
      </c>
      <c r="M127" s="142">
        <v>3400000</v>
      </c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13">
        <f>SUM(G127:AE127)</f>
        <v>3900000</v>
      </c>
    </row>
    <row r="128" spans="4:34" ht="12" customHeight="1" thickBot="1">
      <c r="D128" s="19" t="s">
        <v>247</v>
      </c>
      <c r="G128" s="114"/>
      <c r="H128" s="114"/>
      <c r="I128" s="114"/>
      <c r="J128" s="114"/>
      <c r="K128" s="114">
        <f>-(K127/$I$1)*1000</f>
        <v>-0.10026162569393453</v>
      </c>
      <c r="L128" s="114">
        <f>-(L127/$A$3)*1000</f>
        <v>0</v>
      </c>
      <c r="M128" s="114">
        <f>-(M127/$A$3)*1000</f>
        <v>-0.886242695633318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5" t="s">
        <v>16</v>
      </c>
    </row>
    <row r="129" spans="7:34" ht="12" customHeight="1"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33"/>
    </row>
    <row r="130" spans="2:34" ht="12" customHeight="1">
      <c r="B130" s="14" t="s">
        <v>265</v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33"/>
    </row>
    <row r="131" spans="2:34" ht="12" customHeight="1">
      <c r="B131" s="107">
        <v>3600000</v>
      </c>
      <c r="G131" s="110"/>
      <c r="H131" s="110"/>
      <c r="I131" s="110"/>
      <c r="J131" s="110"/>
      <c r="K131" s="142">
        <v>2160000</v>
      </c>
      <c r="L131" s="142">
        <v>1440000</v>
      </c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13">
        <f>SUM(K131:AE131)</f>
        <v>3600000</v>
      </c>
    </row>
    <row r="132" spans="4:34" ht="12" customHeight="1" thickBot="1">
      <c r="D132" s="19" t="s">
        <v>247</v>
      </c>
      <c r="G132" s="114"/>
      <c r="H132" s="114"/>
      <c r="I132" s="114"/>
      <c r="J132" s="114"/>
      <c r="K132" s="114">
        <f>-(K131/$I$1)*1000</f>
        <v>-0.43313022299779713</v>
      </c>
      <c r="L132" s="114">
        <f>-(L131/$I$1)*1000</f>
        <v>-0.2887534819985314</v>
      </c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5" t="s">
        <v>16</v>
      </c>
    </row>
    <row r="133" spans="7:11" ht="12" customHeight="1">
      <c r="G133" s="110"/>
      <c r="H133" s="110"/>
      <c r="I133" s="110"/>
      <c r="J133" s="110"/>
      <c r="K133" s="110"/>
    </row>
    <row r="134" spans="7:11" ht="12" customHeight="1">
      <c r="G134" s="110"/>
      <c r="H134" s="110"/>
      <c r="I134" s="110"/>
      <c r="J134" s="110"/>
      <c r="K134" s="110"/>
    </row>
    <row r="135" spans="1:34" ht="12" customHeight="1">
      <c r="A135" s="14" t="s">
        <v>266</v>
      </c>
      <c r="G135" s="143">
        <f>SUM(,G120,G123,G126,G131)</f>
        <v>0</v>
      </c>
      <c r="H135" s="143">
        <f aca="true" t="shared" si="38" ref="H135:AH135">SUM(,H120,H123,H126,H131)</f>
        <v>0</v>
      </c>
      <c r="I135" s="143">
        <f t="shared" si="38"/>
        <v>0</v>
      </c>
      <c r="J135" s="143">
        <f t="shared" si="38"/>
        <v>0</v>
      </c>
      <c r="K135" s="143">
        <f t="shared" si="38"/>
        <v>2796457.5</v>
      </c>
      <c r="L135" s="143">
        <f t="shared" si="38"/>
        <v>2076457.5</v>
      </c>
      <c r="M135" s="143">
        <f t="shared" si="38"/>
        <v>636457.5</v>
      </c>
      <c r="N135" s="143">
        <f t="shared" si="38"/>
        <v>636457.5</v>
      </c>
      <c r="O135" s="143">
        <f t="shared" si="38"/>
        <v>636457.5</v>
      </c>
      <c r="P135" s="143">
        <f t="shared" si="38"/>
        <v>2424839.8529411764</v>
      </c>
      <c r="Q135" s="143">
        <f t="shared" si="38"/>
        <v>2424839.8529411764</v>
      </c>
      <c r="R135" s="143">
        <f t="shared" si="38"/>
        <v>2424839.8529411764</v>
      </c>
      <c r="S135" s="143">
        <f t="shared" si="38"/>
        <v>2424839.8529411764</v>
      </c>
      <c r="T135" s="143">
        <f t="shared" si="38"/>
        <v>2424839.8529411764</v>
      </c>
      <c r="U135" s="143">
        <f t="shared" si="38"/>
        <v>2424839.8529411764</v>
      </c>
      <c r="V135" s="143">
        <f t="shared" si="38"/>
        <v>2424839.8529411764</v>
      </c>
      <c r="W135" s="143">
        <f t="shared" si="38"/>
        <v>0</v>
      </c>
      <c r="X135" s="143">
        <f t="shared" si="38"/>
        <v>2424839.8529411764</v>
      </c>
      <c r="Y135" s="143">
        <f t="shared" si="38"/>
        <v>2424839.8529411764</v>
      </c>
      <c r="Z135" s="143">
        <f t="shared" si="38"/>
        <v>2424839.8529411764</v>
      </c>
      <c r="AA135" s="143">
        <f t="shared" si="38"/>
        <v>2424839.8529411764</v>
      </c>
      <c r="AB135" s="143">
        <f t="shared" si="38"/>
        <v>2424839.8529411764</v>
      </c>
      <c r="AC135" s="143">
        <f t="shared" si="38"/>
        <v>2424839.8529411764</v>
      </c>
      <c r="AD135" s="143">
        <f t="shared" si="38"/>
        <v>2424839.8529411764</v>
      </c>
      <c r="AE135" s="143">
        <f t="shared" si="38"/>
        <v>2424839.8529411764</v>
      </c>
      <c r="AF135" s="143">
        <f t="shared" si="38"/>
        <v>1788382.3529411764</v>
      </c>
      <c r="AG135" s="143">
        <f t="shared" si="38"/>
        <v>1788382.3529411764</v>
      </c>
      <c r="AH135" s="143">
        <f t="shared" si="38"/>
        <v>46731650.00000001</v>
      </c>
    </row>
    <row r="136" spans="1:34" s="145" customFormat="1" ht="12" customHeight="1" thickBot="1">
      <c r="A136" s="144" t="s">
        <v>247</v>
      </c>
      <c r="B136" s="144"/>
      <c r="G136" s="146">
        <f>SUM(G121,G132)</f>
        <v>0</v>
      </c>
      <c r="H136" s="146">
        <f aca="true" t="shared" si="39" ref="H136:AH136">SUM(H121,H132)</f>
        <v>0</v>
      </c>
      <c r="I136" s="146">
        <f t="shared" si="39"/>
        <v>0</v>
      </c>
      <c r="J136" s="146">
        <f t="shared" si="39"/>
        <v>0</v>
      </c>
      <c r="K136" s="146">
        <f t="shared" si="39"/>
        <v>-0.5607547502679918</v>
      </c>
      <c r="L136" s="146">
        <f t="shared" si="39"/>
        <v>-0.41637800926872603</v>
      </c>
      <c r="M136" s="146">
        <f t="shared" si="39"/>
        <v>-0.12762452727019466</v>
      </c>
      <c r="N136" s="146">
        <f t="shared" si="39"/>
        <v>-0.16589876778118898</v>
      </c>
      <c r="O136" s="146">
        <f t="shared" si="39"/>
        <v>-0.16589876778118898</v>
      </c>
      <c r="P136" s="146">
        <f t="shared" si="39"/>
        <v>-0.16589876778118898</v>
      </c>
      <c r="Q136" s="146">
        <f t="shared" si="39"/>
        <v>-0.16589876778118898</v>
      </c>
      <c r="R136" s="146">
        <f t="shared" si="39"/>
        <v>-0.16589876778118898</v>
      </c>
      <c r="S136" s="146">
        <f t="shared" si="39"/>
        <v>-0.16589876778118898</v>
      </c>
      <c r="T136" s="146">
        <f t="shared" si="39"/>
        <v>-0.16589876778118898</v>
      </c>
      <c r="U136" s="146">
        <f t="shared" si="39"/>
        <v>-0.16589876778118898</v>
      </c>
      <c r="V136" s="146">
        <f t="shared" si="39"/>
        <v>-0.16589876778118898</v>
      </c>
      <c r="W136" s="146">
        <f t="shared" si="39"/>
        <v>0</v>
      </c>
      <c r="X136" s="146">
        <f t="shared" si="39"/>
        <v>-0.16589876778118898</v>
      </c>
      <c r="Y136" s="146">
        <f t="shared" si="39"/>
        <v>-0.16589876778118898</v>
      </c>
      <c r="Z136" s="146">
        <f t="shared" si="39"/>
        <v>-0.16589876778118898</v>
      </c>
      <c r="AA136" s="146">
        <f t="shared" si="39"/>
        <v>-0.16589876778118898</v>
      </c>
      <c r="AB136" s="146">
        <f t="shared" si="39"/>
        <v>-0.16589876778118898</v>
      </c>
      <c r="AC136" s="146">
        <f t="shared" si="39"/>
        <v>-0.16589876778118898</v>
      </c>
      <c r="AD136" s="146">
        <f t="shared" si="39"/>
        <v>-0.16589876778118898</v>
      </c>
      <c r="AE136" s="146">
        <f t="shared" si="39"/>
        <v>-0.16589876778118898</v>
      </c>
      <c r="AF136" s="146">
        <f t="shared" si="39"/>
        <v>0</v>
      </c>
      <c r="AG136" s="146">
        <f t="shared" si="39"/>
        <v>0</v>
      </c>
      <c r="AH136" s="146">
        <f t="shared" si="39"/>
        <v>0</v>
      </c>
    </row>
    <row r="137" spans="1:6" ht="12" customHeight="1" thickBot="1">
      <c r="A137" s="68"/>
      <c r="B137" s="68"/>
      <c r="C137" s="78"/>
      <c r="D137" s="78"/>
      <c r="E137" s="78"/>
      <c r="F137" s="78"/>
    </row>
    <row r="138" spans="1:34" ht="12" customHeight="1">
      <c r="A138" s="68" t="s">
        <v>267</v>
      </c>
      <c r="B138" s="68"/>
      <c r="C138" s="78"/>
      <c r="D138" s="78"/>
      <c r="E138" s="78"/>
      <c r="F138" s="78"/>
      <c r="G138" s="147">
        <f aca="true" t="shared" si="40" ref="G138:V138">G113-G135</f>
        <v>0</v>
      </c>
      <c r="H138" s="147">
        <f t="shared" si="40"/>
        <v>0</v>
      </c>
      <c r="I138" s="147">
        <f t="shared" si="40"/>
        <v>0</v>
      </c>
      <c r="J138" s="147">
        <f t="shared" si="40"/>
        <v>0</v>
      </c>
      <c r="K138" s="147">
        <f t="shared" si="40"/>
        <v>2121980.25</v>
      </c>
      <c r="L138" s="147">
        <f t="shared" si="40"/>
        <v>1953334.4568750001</v>
      </c>
      <c r="M138" s="147">
        <f t="shared" si="40"/>
        <v>10803030.588923438</v>
      </c>
      <c r="N138" s="147">
        <f t="shared" si="40"/>
        <v>5533517.5</v>
      </c>
      <c r="O138" s="147">
        <f t="shared" si="40"/>
        <v>5376292.5</v>
      </c>
      <c r="P138" s="147">
        <f t="shared" si="40"/>
        <v>3430685.1470588236</v>
      </c>
      <c r="Q138" s="147">
        <f t="shared" si="40"/>
        <v>3273460.1470588236</v>
      </c>
      <c r="R138" s="147">
        <f t="shared" si="40"/>
        <v>3116235.1470588236</v>
      </c>
      <c r="S138" s="147">
        <f t="shared" si="40"/>
        <v>2959010.1470588236</v>
      </c>
      <c r="T138" s="147">
        <f t="shared" si="40"/>
        <v>2801785.1470588236</v>
      </c>
      <c r="U138" s="147">
        <f t="shared" si="40"/>
        <v>2644560.1470588236</v>
      </c>
      <c r="V138" s="147">
        <f t="shared" si="40"/>
        <v>2487335.1470588236</v>
      </c>
      <c r="X138" s="147">
        <f aca="true" t="shared" si="41" ref="X138:AG138">X113-X135</f>
        <v>2330110.1470588236</v>
      </c>
      <c r="Y138" s="147">
        <f t="shared" si="41"/>
        <v>2330110.1470588236</v>
      </c>
      <c r="Z138" s="147">
        <f t="shared" si="41"/>
        <v>2172885.1470588236</v>
      </c>
      <c r="AA138" s="147">
        <f t="shared" si="41"/>
        <v>2015660.1470588236</v>
      </c>
      <c r="AB138" s="147">
        <f t="shared" si="41"/>
        <v>1858435.1470588236</v>
      </c>
      <c r="AC138" s="147">
        <f t="shared" si="41"/>
        <v>1681210.1470588236</v>
      </c>
      <c r="AD138" s="147">
        <f t="shared" si="41"/>
        <v>1523985.1470588236</v>
      </c>
      <c r="AE138" s="147">
        <f t="shared" si="41"/>
        <v>1367710.1470588236</v>
      </c>
      <c r="AF138" s="147">
        <f t="shared" si="41"/>
        <v>496617.6470588236</v>
      </c>
      <c r="AG138" s="147">
        <f t="shared" si="41"/>
        <v>401617.6470588236</v>
      </c>
      <c r="AH138" s="148">
        <f>SUM(G138:AG138)</f>
        <v>62679567.79579841</v>
      </c>
    </row>
    <row r="139" spans="1:34" ht="12" customHeight="1" thickBot="1">
      <c r="A139" s="68" t="s">
        <v>268</v>
      </c>
      <c r="B139" s="68"/>
      <c r="C139" s="78"/>
      <c r="D139" s="78"/>
      <c r="E139" s="78"/>
      <c r="F139" s="78"/>
      <c r="G139" s="149">
        <f aca="true" t="shared" si="42" ref="G139:AG139">G114+G136</f>
        <v>0</v>
      </c>
      <c r="H139" s="149">
        <f t="shared" si="42"/>
        <v>0</v>
      </c>
      <c r="I139" s="149">
        <f t="shared" si="42"/>
        <v>0</v>
      </c>
      <c r="J139" s="149">
        <f t="shared" si="42"/>
        <v>0</v>
      </c>
      <c r="K139" s="149">
        <f t="shared" si="42"/>
        <v>0.4255063791108433</v>
      </c>
      <c r="L139" s="149">
        <f t="shared" si="42"/>
        <v>0.39168897634053235</v>
      </c>
      <c r="M139" s="149">
        <f t="shared" si="42"/>
        <v>1.3842181381208443</v>
      </c>
      <c r="N139" s="149">
        <f t="shared" si="42"/>
        <v>1.2325953888389727</v>
      </c>
      <c r="O139" s="149">
        <f t="shared" si="42"/>
        <v>1.4261450040583399</v>
      </c>
      <c r="P139" s="149">
        <f t="shared" si="42"/>
        <v>1.385162795875708</v>
      </c>
      <c r="Q139" s="149">
        <f t="shared" si="42"/>
        <v>1.3441805876930764</v>
      </c>
      <c r="R139" s="149">
        <f t="shared" si="42"/>
        <v>1.3031983795104443</v>
      </c>
      <c r="S139" s="149">
        <f t="shared" si="42"/>
        <v>1.2622161713278122</v>
      </c>
      <c r="T139" s="149">
        <f t="shared" si="42"/>
        <v>1.2212339631451805</v>
      </c>
      <c r="U139" s="149">
        <f t="shared" si="42"/>
        <v>1.1802517549625486</v>
      </c>
      <c r="V139" s="149">
        <f t="shared" si="42"/>
        <v>1.1392695467799168</v>
      </c>
      <c r="W139" s="149">
        <f t="shared" si="42"/>
        <v>0.793708531824545</v>
      </c>
      <c r="X139" s="149">
        <f t="shared" si="42"/>
        <v>0.30457880677273963</v>
      </c>
      <c r="Y139" s="149">
        <f t="shared" si="42"/>
        <v>1.0735246750428244</v>
      </c>
      <c r="Z139" s="149">
        <f t="shared" si="42"/>
        <v>1.057305130414653</v>
      </c>
      <c r="AA139" s="149">
        <f t="shared" si="42"/>
        <v>1.016322922232021</v>
      </c>
      <c r="AB139" s="149">
        <f t="shared" si="42"/>
        <v>0.9753407140493893</v>
      </c>
      <c r="AC139" s="149">
        <f t="shared" si="42"/>
        <v>0.9291453135395025</v>
      </c>
      <c r="AD139" s="149">
        <f t="shared" si="42"/>
        <v>0.8881631053568706</v>
      </c>
      <c r="AE139" s="149">
        <f t="shared" si="42"/>
        <v>0.8474285238097832</v>
      </c>
      <c r="AF139" s="149">
        <f t="shared" si="42"/>
        <v>0.6203698869433226</v>
      </c>
      <c r="AG139" s="149">
        <f t="shared" si="42"/>
        <v>0.5956072233888623</v>
      </c>
      <c r="AH139" s="149" t="s">
        <v>16</v>
      </c>
    </row>
    <row r="140" spans="1:33" ht="12" customHeight="1">
      <c r="A140" s="78"/>
      <c r="B140" s="68"/>
      <c r="C140" s="78"/>
      <c r="D140" s="78"/>
      <c r="E140" s="78"/>
      <c r="F140" s="77">
        <f>F63+F113+F138</f>
        <v>1417385</v>
      </c>
      <c r="G140" s="77">
        <f>G63+G113+G138</f>
        <v>1368439</v>
      </c>
      <c r="H140" s="77">
        <f>H63+H113+H138</f>
        <v>2900130</v>
      </c>
      <c r="I140" s="77">
        <f>I63+I113+I138</f>
        <v>3225424.5</v>
      </c>
      <c r="J140" s="77">
        <f aca="true" t="shared" si="43" ref="J140:AG140">J63+J113-J138</f>
        <v>2969044.5</v>
      </c>
      <c r="K140" s="77">
        <f t="shared" si="43"/>
        <v>6394777</v>
      </c>
      <c r="L140" s="77">
        <f t="shared" si="43"/>
        <v>6365663</v>
      </c>
      <c r="M140" s="77">
        <f t="shared" si="43"/>
        <v>4822042.5</v>
      </c>
      <c r="N140" s="77">
        <f t="shared" si="43"/>
        <v>4646568.5</v>
      </c>
      <c r="O140" s="77">
        <f t="shared" si="43"/>
        <v>4497863.5</v>
      </c>
      <c r="P140" s="77">
        <f t="shared" si="43"/>
        <v>5734020.852941176</v>
      </c>
      <c r="Q140" s="77">
        <f t="shared" si="43"/>
        <v>5080265.852941176</v>
      </c>
      <c r="R140" s="77">
        <f t="shared" si="43"/>
        <v>4745112.102941176</v>
      </c>
      <c r="S140" s="77">
        <f t="shared" si="43"/>
        <v>5323568.352941176</v>
      </c>
      <c r="T140" s="77">
        <f t="shared" si="43"/>
        <v>4129063.8529411764</v>
      </c>
      <c r="U140" s="77">
        <f t="shared" si="43"/>
        <v>4077631.3529411764</v>
      </c>
      <c r="V140" s="77">
        <f t="shared" si="43"/>
        <v>2424839.8529411764</v>
      </c>
      <c r="W140" s="77">
        <f t="shared" si="43"/>
        <v>0</v>
      </c>
      <c r="X140" s="77">
        <f t="shared" si="43"/>
        <v>2424839.8529411764</v>
      </c>
      <c r="Y140" s="77">
        <f t="shared" si="43"/>
        <v>2424839.8529411764</v>
      </c>
      <c r="Z140" s="77">
        <f t="shared" si="43"/>
        <v>2424839.8529411764</v>
      </c>
      <c r="AA140" s="77">
        <f t="shared" si="43"/>
        <v>2424839.8529411764</v>
      </c>
      <c r="AB140" s="77">
        <f t="shared" si="43"/>
        <v>2424839.8529411764</v>
      </c>
      <c r="AC140" s="77">
        <f t="shared" si="43"/>
        <v>2424839.8529411764</v>
      </c>
      <c r="AD140" s="77">
        <f t="shared" si="43"/>
        <v>2424839.8529411764</v>
      </c>
      <c r="AE140" s="77">
        <f t="shared" si="43"/>
        <v>2424839.8529411764</v>
      </c>
      <c r="AF140" s="77">
        <f t="shared" si="43"/>
        <v>1788382.3529411764</v>
      </c>
      <c r="AG140" s="77">
        <f t="shared" si="43"/>
        <v>1788382.3529411764</v>
      </c>
    </row>
    <row r="141" spans="1:34" ht="12" customHeight="1">
      <c r="A141" s="19" t="s">
        <v>269</v>
      </c>
      <c r="F141" s="150">
        <f aca="true" t="shared" si="44" ref="F141:AG141">SUM(F85+F139)</f>
        <v>0.36945503033830307</v>
      </c>
      <c r="G141" s="150">
        <f t="shared" si="44"/>
        <v>0.3566967847558124</v>
      </c>
      <c r="H141" s="150">
        <f t="shared" si="44"/>
        <v>0.6084582373039576</v>
      </c>
      <c r="I141" s="150">
        <f t="shared" si="44"/>
        <v>0.6467726078460919</v>
      </c>
      <c r="J141" s="150">
        <f t="shared" si="44"/>
        <v>0.59536245665527</v>
      </c>
      <c r="K141" s="150">
        <f t="shared" si="44"/>
        <v>1.2165173669127434</v>
      </c>
      <c r="L141" s="150">
        <f t="shared" si="44"/>
        <v>1.2737317050982346</v>
      </c>
      <c r="M141" s="150">
        <f t="shared" si="44"/>
        <v>2.2903496248061455</v>
      </c>
      <c r="N141" s="150">
        <f t="shared" si="44"/>
        <v>1.2325953888389727</v>
      </c>
      <c r="O141" s="150">
        <f t="shared" si="44"/>
        <v>1.4261450040583399</v>
      </c>
      <c r="P141" s="150">
        <f t="shared" si="44"/>
        <v>1.385162795875708</v>
      </c>
      <c r="Q141" s="150">
        <f t="shared" si="44"/>
        <v>1.3441805876930764</v>
      </c>
      <c r="R141" s="150">
        <f t="shared" si="44"/>
        <v>1.3031983795104443</v>
      </c>
      <c r="S141" s="150">
        <f t="shared" si="44"/>
        <v>1.2622161713278122</v>
      </c>
      <c r="T141" s="150">
        <f t="shared" si="44"/>
        <v>1.2212339631451805</v>
      </c>
      <c r="U141" s="150">
        <f t="shared" si="44"/>
        <v>1.1802517549625486</v>
      </c>
      <c r="V141" s="150">
        <f t="shared" si="44"/>
        <v>1.1392695467799168</v>
      </c>
      <c r="W141" s="150">
        <f t="shared" si="44"/>
        <v>0.793708531824545</v>
      </c>
      <c r="X141" s="150">
        <f t="shared" si="44"/>
        <v>0.30457880677273963</v>
      </c>
      <c r="Y141" s="150">
        <f t="shared" si="44"/>
        <v>1.0735246750428244</v>
      </c>
      <c r="Z141" s="150">
        <f t="shared" si="44"/>
        <v>1.057305130414653</v>
      </c>
      <c r="AA141" s="150">
        <f t="shared" si="44"/>
        <v>1.016322922232021</v>
      </c>
      <c r="AB141" s="150">
        <f t="shared" si="44"/>
        <v>0.9753407140493893</v>
      </c>
      <c r="AC141" s="150">
        <f t="shared" si="44"/>
        <v>0.9291453135395025</v>
      </c>
      <c r="AD141" s="150">
        <f t="shared" si="44"/>
        <v>0.8881631053568706</v>
      </c>
      <c r="AE141" s="150">
        <f t="shared" si="44"/>
        <v>0.8474285238097832</v>
      </c>
      <c r="AF141" s="150">
        <f t="shared" si="44"/>
        <v>0.6203698869433226</v>
      </c>
      <c r="AG141" s="150">
        <f t="shared" si="44"/>
        <v>0.5956072233888623</v>
      </c>
      <c r="AH141" s="150" t="s">
        <v>16</v>
      </c>
    </row>
    <row r="154" ht="12" customHeight="1">
      <c r="L154" s="29" t="s">
        <v>16</v>
      </c>
    </row>
    <row r="156" spans="1:34" ht="12" customHeight="1">
      <c r="A156" s="19" t="s">
        <v>300</v>
      </c>
      <c r="F156" s="29">
        <f>SUM(F26:F27)</f>
        <v>274900</v>
      </c>
      <c r="G156" s="29">
        <f>SUM(G26:G27)</f>
        <v>266450</v>
      </c>
      <c r="H156" s="29">
        <f>SUM(H26:H31)</f>
        <v>427358</v>
      </c>
      <c r="I156" s="29">
        <f>SUM(I26:I32)</f>
        <v>428486</v>
      </c>
      <c r="J156" s="29">
        <f>SUM(J26:J33)</f>
        <v>305700</v>
      </c>
      <c r="K156" s="29">
        <f>SUM(K26:K33)</f>
        <v>386300</v>
      </c>
      <c r="L156" s="29">
        <f>SUM(L26:L33)</f>
        <v>373550</v>
      </c>
      <c r="M156" s="29">
        <f aca="true" t="shared" si="45" ref="M156:Y156">SUM(M26:M33)</f>
        <v>361500</v>
      </c>
      <c r="N156" s="29">
        <f t="shared" si="45"/>
        <v>349350</v>
      </c>
      <c r="O156" s="29">
        <f t="shared" si="45"/>
        <v>141750</v>
      </c>
      <c r="P156" s="29">
        <f t="shared" si="45"/>
        <v>65000</v>
      </c>
      <c r="Q156" s="29">
        <f t="shared" si="45"/>
        <v>65000</v>
      </c>
      <c r="R156" s="29">
        <f t="shared" si="45"/>
        <v>65000</v>
      </c>
      <c r="S156" s="29">
        <f t="shared" si="45"/>
        <v>0</v>
      </c>
      <c r="T156" s="29">
        <f t="shared" si="45"/>
        <v>0</v>
      </c>
      <c r="U156" s="29">
        <f t="shared" si="45"/>
        <v>0</v>
      </c>
      <c r="V156" s="29">
        <f t="shared" si="45"/>
        <v>0</v>
      </c>
      <c r="W156" s="29">
        <f t="shared" si="45"/>
        <v>0</v>
      </c>
      <c r="X156" s="29">
        <f t="shared" si="45"/>
        <v>0</v>
      </c>
      <c r="Y156" s="29">
        <f t="shared" si="45"/>
        <v>0</v>
      </c>
      <c r="Z156" s="29">
        <f>SUM(Z26:Z32)</f>
        <v>0</v>
      </c>
      <c r="AA156" s="29">
        <f>SUM(AA26:AA32)</f>
        <v>0</v>
      </c>
      <c r="AB156" s="29">
        <f>SUM(AB26:AB32)</f>
        <v>0</v>
      </c>
      <c r="AC156" s="29">
        <f aca="true" t="shared" si="46" ref="AC156:AH156">SUM(AC26:AC27)</f>
        <v>0</v>
      </c>
      <c r="AD156" s="29">
        <f t="shared" si="46"/>
        <v>0</v>
      </c>
      <c r="AE156" s="29">
        <f t="shared" si="46"/>
        <v>0</v>
      </c>
      <c r="AF156" s="29">
        <f t="shared" si="46"/>
        <v>0</v>
      </c>
      <c r="AG156" s="29">
        <f t="shared" si="46"/>
        <v>0</v>
      </c>
      <c r="AH156" s="29">
        <f t="shared" si="46"/>
        <v>1887450</v>
      </c>
    </row>
    <row r="159" spans="1:34" ht="12" customHeight="1">
      <c r="A159" s="19" t="s">
        <v>290</v>
      </c>
      <c r="F159" s="29">
        <f>SUM(F7:F10)-F52</f>
        <v>748059</v>
      </c>
      <c r="G159" s="29">
        <f aca="true" t="shared" si="47" ref="G159:V159">SUM(G7:G10)+G35+G36-G52</f>
        <v>701734</v>
      </c>
      <c r="H159" s="29">
        <f t="shared" si="47"/>
        <v>2273785</v>
      </c>
      <c r="I159" s="29">
        <f t="shared" si="47"/>
        <v>1920397</v>
      </c>
      <c r="J159" s="29">
        <f t="shared" si="47"/>
        <v>1835847</v>
      </c>
      <c r="K159" s="29">
        <f t="shared" si="47"/>
        <v>1754022</v>
      </c>
      <c r="L159" s="29">
        <f t="shared" si="47"/>
        <v>2069258</v>
      </c>
      <c r="M159" s="29">
        <f t="shared" si="47"/>
        <v>1990495</v>
      </c>
      <c r="N159" s="29">
        <f t="shared" si="47"/>
        <v>1908320</v>
      </c>
      <c r="O159" s="29">
        <f t="shared" si="47"/>
        <v>1824095</v>
      </c>
      <c r="P159" s="29">
        <f t="shared" si="47"/>
        <v>1737745</v>
      </c>
      <c r="Q159" s="29">
        <f t="shared" si="47"/>
        <v>1650870</v>
      </c>
      <c r="R159" s="29">
        <f t="shared" si="47"/>
        <v>1341716.25</v>
      </c>
      <c r="S159" s="29" t="e">
        <f t="shared" si="47"/>
        <v>#VALUE!</v>
      </c>
      <c r="T159" s="29">
        <f t="shared" si="47"/>
        <v>794325</v>
      </c>
      <c r="U159" s="29">
        <f t="shared" si="47"/>
        <v>769632.5</v>
      </c>
      <c r="V159" s="29">
        <f t="shared" si="47"/>
        <v>744345</v>
      </c>
      <c r="W159" s="29" t="s">
        <v>16</v>
      </c>
      <c r="X159" s="29">
        <f>SUM(X7:X10)+X35+X36-X52</f>
        <v>718462.5</v>
      </c>
      <c r="Y159" s="29">
        <f aca="true" t="shared" si="48" ref="Y159:AH159">SUM(Y7:Y10)-Y52</f>
        <v>0</v>
      </c>
      <c r="Z159" s="29">
        <f t="shared" si="48"/>
        <v>0</v>
      </c>
      <c r="AA159" s="29">
        <f t="shared" si="48"/>
        <v>0</v>
      </c>
      <c r="AB159" s="29">
        <f t="shared" si="48"/>
        <v>0</v>
      </c>
      <c r="AC159" s="29">
        <f t="shared" si="48"/>
        <v>0</v>
      </c>
      <c r="AD159" s="29">
        <f t="shared" si="48"/>
        <v>0</v>
      </c>
      <c r="AE159" s="29">
        <f t="shared" si="48"/>
        <v>0</v>
      </c>
      <c r="AF159" s="29">
        <f t="shared" si="48"/>
        <v>0</v>
      </c>
      <c r="AG159" s="29">
        <f t="shared" si="48"/>
        <v>0</v>
      </c>
      <c r="AH159" s="29">
        <f t="shared" si="48"/>
        <v>11428663</v>
      </c>
    </row>
  </sheetData>
  <printOptions/>
  <pageMargins left="0.75" right="0.75" top="1" bottom="1" header="0.5" footer="0.5"/>
  <pageSetup horizontalDpi="300" verticalDpi="300" orientation="landscape" paperSize="5" scale="58" r:id="rId1"/>
  <headerFooter alignWithMargins="0">
    <oddFooter>&amp;L&amp;P&amp;C&amp;D&amp;R&amp;F</oddFooter>
  </headerFooter>
  <rowBreaks count="2" manualBreakCount="2">
    <brk id="66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CytoLogix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RWhite</dc:creator>
  <cp:keywords/>
  <dc:description/>
  <cp:lastModifiedBy>William Brownsberger</cp:lastModifiedBy>
  <cp:lastPrinted>2006-12-03T17:08:13Z</cp:lastPrinted>
  <dcterms:created xsi:type="dcterms:W3CDTF">2001-11-05T02:11:42Z</dcterms:created>
  <dcterms:modified xsi:type="dcterms:W3CDTF">2007-02-24T05:31:15Z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553742214</vt:i4>
  </property>
  <property fmtid="{D5CDD505-2E9C-101B-9397-08002B2CF9AE}" pid="3" name="_EmailSubject">
    <vt:lpwstr>5 year projection</vt:lpwstr>
  </property>
  <property fmtid="{D5CDD505-2E9C-101B-9397-08002B2CF9AE}" pid="4" name="_AuthorEmail">
    <vt:lpwstr>bhagg@town.belmont.ma.us</vt:lpwstr>
  </property>
  <property fmtid="{D5CDD505-2E9C-101B-9397-08002B2CF9AE}" pid="5" name="_AuthorEmailDisplayName">
    <vt:lpwstr>Hagg, Barbara</vt:lpwstr>
  </property>
  <property fmtid="{D5CDD505-2E9C-101B-9397-08002B2CF9AE}" pid="6" name="_PreviousAdHocReviewCycleID">
    <vt:i4>-571500786</vt:i4>
  </property>
  <property fmtid="{D5CDD505-2E9C-101B-9397-08002B2CF9AE}" pid="7" name="_ReviewingToolsShownOnce">
    <vt:lpwstr/>
  </property>
</Properties>
</file>