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296" windowWidth="12315" windowHeight="16860" activeTab="0"/>
  </bookViews>
  <sheets>
    <sheet name="Municipal Revenue Model" sheetId="1" r:id="rId1"/>
    <sheet name="Municipal Revenue Growth" sheetId="2" r:id="rId2"/>
    <sheet name="Cherry Sheet Aid" sheetId="3" r:id="rId3"/>
    <sheet name="Municipal Expenditure Growth" sheetId="4" r:id="rId4"/>
  </sheets>
  <definedNames/>
  <calcPr fullCalcOnLoad="1"/>
</workbook>
</file>

<file path=xl/sharedStrings.xml><?xml version="1.0" encoding="utf-8"?>
<sst xmlns="http://schemas.openxmlformats.org/spreadsheetml/2006/main" count="150" uniqueCount="123">
  <si>
    <t>Massachusetts Department of Revenue</t>
  </si>
  <si>
    <t>Division of Local Services</t>
  </si>
  <si>
    <t>Municipal Databank/Local Aid Section</t>
  </si>
  <si>
    <t>State Total Cherry Sheet Estimates by Program</t>
  </si>
  <si>
    <t>All Municipalities - FY1981 - FY2010</t>
  </si>
  <si>
    <t>Fiscal Year</t>
  </si>
  <si>
    <t>Total Receipts</t>
  </si>
  <si>
    <t>Total Assessments</t>
  </si>
  <si>
    <t>Net State Aid</t>
  </si>
  <si>
    <t xml:space="preserve">As Percent of Total </t>
  </si>
  <si>
    <t>FY</t>
  </si>
  <si>
    <t>Tax Levy</t>
  </si>
  <si>
    <t>State Aid</t>
  </si>
  <si>
    <t>Local Receipts</t>
  </si>
  <si>
    <t>All Other</t>
  </si>
  <si>
    <t>% Change in Tax Levy</t>
  </si>
  <si>
    <t>% Change in Local Receipts</t>
  </si>
  <si>
    <t>Ch70</t>
  </si>
  <si>
    <t>General Assistance</t>
  </si>
  <si>
    <t>Federal Help</t>
  </si>
  <si>
    <t>Major Programs -- Aid to Cities and Towns (Exclude Regionals) per  Budgets</t>
  </si>
  <si>
    <t>Note: 2009 Amounts do not show 9C cuts</t>
  </si>
  <si>
    <t>Lottery/UGGA</t>
  </si>
  <si>
    <t>Merged in to UGGA</t>
  </si>
  <si>
    <t>08 vs 01+ARRA</t>
  </si>
  <si>
    <t>08 vs 11</t>
  </si>
  <si>
    <t>Municipal Revenue Shares data from DOR</t>
  </si>
  <si>
    <t>Est 2010</t>
  </si>
  <si>
    <t>Est 2011</t>
  </si>
  <si>
    <t>State Total</t>
  </si>
  <si>
    <t>Municipality</t>
  </si>
  <si>
    <t>DOR</t>
  </si>
  <si>
    <t>General Government</t>
  </si>
  <si>
    <t>Police</t>
  </si>
  <si>
    <t>Fire</t>
  </si>
  <si>
    <t>Other Public Safety</t>
  </si>
  <si>
    <t>Education</t>
  </si>
  <si>
    <t>Public Works</t>
  </si>
  <si>
    <t>Human Services</t>
  </si>
  <si>
    <t>Culture &amp; Recreation</t>
  </si>
  <si>
    <t>Debt Service</t>
  </si>
  <si>
    <t>Fixed Costs</t>
  </si>
  <si>
    <t>Intergovern-mental</t>
  </si>
  <si>
    <t>Other Expenditures</t>
  </si>
  <si>
    <t>Total Expenditures</t>
  </si>
  <si>
    <t>Transfers to Other Funds</t>
  </si>
  <si>
    <t>Other Financing Uses</t>
  </si>
  <si>
    <t>Avg Yearly increase</t>
  </si>
  <si>
    <t>00 to 08</t>
  </si>
  <si>
    <t xml:space="preserve">   Tax Revenue</t>
  </si>
  <si>
    <t xml:space="preserve">   State Aid</t>
  </si>
  <si>
    <t xml:space="preserve">   Local Receipts</t>
  </si>
  <si>
    <t xml:space="preserve">   Other</t>
  </si>
  <si>
    <t>Revenue Components</t>
  </si>
  <si>
    <t>% of total</t>
  </si>
  <si>
    <t>% change, 08 to 11</t>
  </si>
  <si>
    <t>Expenditure Components</t>
  </si>
  <si>
    <t xml:space="preserve">   Debt</t>
  </si>
  <si>
    <t xml:space="preserve">   Total</t>
  </si>
  <si>
    <t>% Change in other receipts</t>
  </si>
  <si>
    <t>Total</t>
  </si>
  <si>
    <t>Last complete year</t>
  </si>
  <si>
    <t>HWM Budget, including Federal Aid</t>
  </si>
  <si>
    <t>Statewide 08 actual %</t>
  </si>
  <si>
    <t>Est. 11</t>
  </si>
  <si>
    <t xml:space="preserve">   Operating</t>
  </si>
  <si>
    <t>Assumes zero growth in 10 and 11; actual in 09</t>
  </si>
  <si>
    <t>Assumes 2.5% annually in 10 and 11; actual in 09</t>
  </si>
  <si>
    <t>Computed model outcome</t>
  </si>
  <si>
    <t>Operating 3 year percent change at annual rate 08-11:</t>
  </si>
  <si>
    <t>Average annual growth rate in operating 00-08:</t>
  </si>
  <si>
    <t>Normalized to 100% based on statewide actuals</t>
  </si>
  <si>
    <t>MODEL OF AVERAGE CHANGE IN MUNICIPAL REVENUE AND EXPENDITURES</t>
  </si>
  <si>
    <t>All ex fixed and Debt</t>
  </si>
  <si>
    <t xml:space="preserve">   Fixed (Health and Pension and other benefits)</t>
  </si>
  <si>
    <t>Assumes 5.6% annually (00-08 rate)</t>
  </si>
  <si>
    <t>Assumes 6.0% annually (00-08 rate + 1%)</t>
  </si>
  <si>
    <t>Assumes same as revenue growth</t>
  </si>
  <si>
    <t>For comparison</t>
  </si>
  <si>
    <t>Belmont Actual/Estimated Example</t>
  </si>
  <si>
    <t>Belmont 08 Actual</t>
  </si>
  <si>
    <t>From Cherry Sheet, excludes school construction</t>
  </si>
  <si>
    <t>Total Revenue</t>
  </si>
  <si>
    <t>From: http://www.belmont-ma.gov/public_documents/belmontma_admin/FY11Budget/FY11GenFundRevenueEstimates2-8-10.pdf</t>
  </si>
  <si>
    <t>www.mass.gov/dls</t>
  </si>
  <si>
    <t xml:space="preserve">   Retirement</t>
  </si>
  <si>
    <t xml:space="preserve">   Unemployment Insurance</t>
  </si>
  <si>
    <t xml:space="preserve">   Workers Compensation Insurance</t>
  </si>
  <si>
    <t xml:space="preserve">   Life Insurance</t>
  </si>
  <si>
    <t xml:space="preserve">   Social Security for part-timers</t>
  </si>
  <si>
    <t xml:space="preserve">   Debt Service</t>
  </si>
  <si>
    <t xml:space="preserve">   Health Insurance</t>
  </si>
  <si>
    <t>Detail from: http://www.belmont-ma.gov/public_documents/belmontma_admin/FY11Budget/FY11TownAdmcoverletter&amp;FTEinfobydept.pdf</t>
  </si>
  <si>
    <t xml:space="preserve">   All other -- operating</t>
  </si>
  <si>
    <t xml:space="preserve">   Subtotal fixed and debt service</t>
  </si>
  <si>
    <t>Amount available for all non-fixed costs</t>
  </si>
  <si>
    <t>Computed model intermediate result</t>
  </si>
  <si>
    <t xml:space="preserve">   Annual rate of increase -- past three years:</t>
  </si>
  <si>
    <t>http://www.belmont-ma.gov/public_documents/belmontma_admin/FY11Budget/FY11TownAdmcoverletter&amp;FTEinfobydept.pdf  (chart on pdf page 11)</t>
  </si>
  <si>
    <t>Reflects reduce use of reserves more than lost revenue.</t>
  </si>
  <si>
    <r>
      <t xml:space="preserve">Would be 10 percent without loss of reserve use -- see </t>
    </r>
    <r>
      <rPr>
        <u val="single"/>
        <sz val="10"/>
        <color indexed="12"/>
        <rFont val="Arial"/>
        <family val="0"/>
      </rPr>
      <t>http://www.belmont-ma.gov/public_documents/belmontma_admin/FY11Budget/FY11TownAdmcoverletter&amp;FTEinfobydept.pdf  (chart on pdf page 11)</t>
    </r>
  </si>
  <si>
    <t xml:space="preserve">   Health Care and Pensions</t>
  </si>
  <si>
    <t>http://www.arlingtonma.gov/Public_Documents/ArlingtonMA_Financial/budget/BudgetPresentation_102609.pdf for fy11 -- 1.4% for lr, 2.6% for taxes</t>
  </si>
  <si>
    <t xml:space="preserve">   Local Receipts and other</t>
  </si>
  <si>
    <t xml:space="preserve">http://www.arlingtonma.gov/Public_Documents/ArlingtonMA_Financial/budget/BudgetPresentation_102609.pdf (reading from graph); cf. http://www.arlingtonma.gov/Public_documents/ArlingtonMA_TownMeet/2009ATM/reports/ATM2009_FinCom_Report.pdf 5 year plan </t>
  </si>
  <si>
    <t>http://www.arlingtonma.gov/Public_Documents/ArlingtonMA_Financial/budget/BudgetPresentation_102609.pdf for fy11 -- (backing in to this amount</t>
  </si>
  <si>
    <t>Actual and HWM from Mass.gov/DLS</t>
  </si>
  <si>
    <t>7.5% from 10 (assume same three years) working from town manager presentation</t>
  </si>
  <si>
    <t>Working from Fincom 5 year plan</t>
  </si>
  <si>
    <t>Arlington Actual/Estimated Example</t>
  </si>
  <si>
    <t>Arlington 08 Actual</t>
  </si>
  <si>
    <t>Statewide Municipal Actual/Estimated</t>
  </si>
  <si>
    <t>Subtotal debt service, health care and pensions</t>
  </si>
  <si>
    <t>VERY ROUGH, BACKED INTO FROM MIXED SOURCE ESTIMATES</t>
  </si>
  <si>
    <t>SIMILAR MODEL COMPUTATIONS FOR BELMONT AND ARLINGTON -- COMPUTATIONS BASED ON NOTED SOURCES, BUT ROUGH</t>
  </si>
  <si>
    <t>See: Budget Documents from Mass.gov/legis</t>
  </si>
  <si>
    <t xml:space="preserve">     http://www.mass.gov/Ador/docs/dls/mdmstuf/StateAid/cs2011hwm.xls</t>
  </si>
  <si>
    <t xml:space="preserve">     </t>
  </si>
  <si>
    <t>Data from other sources -- DLS version of HWM Cherry Sheet and directly from House budgets</t>
  </si>
  <si>
    <t>Statewide total municipal expenditures -- mass.gov/dls</t>
  </si>
  <si>
    <t>Assumes 2.6% annually in 10 and 11; actual in 09</t>
  </si>
  <si>
    <t>See accompanying pages for input sources -- numbers carried forward to this page are highlighted in yellow.</t>
  </si>
  <si>
    <t>Three year percentage change from 08 to 11 in amount available for expenditure for non-fixed costs highlighted in green.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</si>
</sst>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0.000"/>
    <numFmt numFmtId="171" formatCode="0.0"/>
    <numFmt numFmtId="172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applyProtection="1">
      <alignment horizontal="left"/>
      <protection/>
    </xf>
    <xf numFmtId="0" fontId="1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3" fontId="0" fillId="0" borderId="0" xfId="15" applyNumberFormat="1" applyFont="1" applyAlignment="1">
      <alignment/>
    </xf>
    <xf numFmtId="40" fontId="0" fillId="0" borderId="0" xfId="0" applyNumberFormat="1" applyFont="1" applyAlignment="1">
      <alignment/>
    </xf>
    <xf numFmtId="166" fontId="0" fillId="0" borderId="0" xfId="21" applyNumberFormat="1" applyAlignment="1">
      <alignment/>
    </xf>
    <xf numFmtId="0" fontId="1" fillId="0" borderId="0" xfId="0" applyFont="1" applyAlignment="1">
      <alignment wrapText="1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166" fontId="0" fillId="0" borderId="0" xfId="21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0" fillId="0" borderId="1" xfId="15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0" fontId="1" fillId="0" borderId="0" xfId="15" applyNumberFormat="1" applyFont="1" applyFill="1" applyBorder="1" applyAlignment="1" applyProtection="1">
      <alignment/>
      <protection/>
    </xf>
    <xf numFmtId="3" fontId="1" fillId="0" borderId="0" xfId="15" applyNumberFormat="1" applyFont="1" applyFill="1" applyBorder="1" applyAlignment="1" applyProtection="1">
      <alignment/>
      <protection/>
    </xf>
    <xf numFmtId="38" fontId="1" fillId="0" borderId="0" xfId="15" applyNumberFormat="1" applyFont="1" applyFill="1" applyBorder="1" applyAlignment="1" applyProtection="1">
      <alignment/>
      <protection/>
    </xf>
    <xf numFmtId="0" fontId="0" fillId="0" borderId="0" xfId="15" applyNumberFormat="1" applyFont="1" applyFill="1" applyBorder="1" applyAlignment="1" applyProtection="1">
      <alignment/>
      <protection/>
    </xf>
    <xf numFmtId="0" fontId="1" fillId="0" borderId="0" xfId="15" applyNumberFormat="1" applyFont="1" applyFill="1" applyBorder="1" applyAlignment="1" applyProtection="1">
      <alignment horizontal="center" wrapText="1"/>
      <protection/>
    </xf>
    <xf numFmtId="165" fontId="0" fillId="0" borderId="0" xfId="15" applyNumberFormat="1" applyFont="1" applyFill="1" applyBorder="1" applyAlignment="1" applyProtection="1">
      <alignment horizontal="center" wrapText="1"/>
      <protection/>
    </xf>
    <xf numFmtId="165" fontId="0" fillId="0" borderId="0" xfId="15" applyNumberFormat="1" applyFont="1" applyFill="1" applyAlignment="1">
      <alignment horizontal="center" wrapText="1"/>
    </xf>
    <xf numFmtId="165" fontId="0" fillId="0" borderId="0" xfId="15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171" fontId="0" fillId="0" borderId="2" xfId="0" applyNumberFormat="1" applyBorder="1" applyAlignment="1">
      <alignment/>
    </xf>
    <xf numFmtId="3" fontId="0" fillId="0" borderId="0" xfId="15" applyNumberFormat="1" applyFont="1" applyFill="1" applyBorder="1" applyAlignment="1" applyProtection="1">
      <alignment/>
      <protection/>
    </xf>
    <xf numFmtId="171" fontId="0" fillId="2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wrapText="1"/>
    </xf>
    <xf numFmtId="0" fontId="0" fillId="2" borderId="2" xfId="0" applyFill="1" applyBorder="1" applyAlignment="1">
      <alignment/>
    </xf>
    <xf numFmtId="166" fontId="0" fillId="0" borderId="2" xfId="21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4" xfId="0" applyFill="1" applyBorder="1" applyAlignment="1">
      <alignment/>
    </xf>
    <xf numFmtId="0" fontId="3" fillId="0" borderId="0" xfId="20" applyAlignment="1">
      <alignment/>
    </xf>
    <xf numFmtId="0" fontId="0" fillId="0" borderId="2" xfId="0" applyFill="1" applyBorder="1" applyAlignment="1">
      <alignment/>
    </xf>
    <xf numFmtId="166" fontId="0" fillId="0" borderId="2" xfId="0" applyNumberFormat="1" applyBorder="1" applyAlignment="1">
      <alignment/>
    </xf>
    <xf numFmtId="0" fontId="0" fillId="0" borderId="5" xfId="0" applyFill="1" applyBorder="1" applyAlignment="1">
      <alignment/>
    </xf>
    <xf numFmtId="165" fontId="0" fillId="0" borderId="5" xfId="0" applyNumberFormat="1" applyBorder="1" applyAlignment="1">
      <alignment/>
    </xf>
    <xf numFmtId="166" fontId="0" fillId="0" borderId="5" xfId="21" applyNumberFormat="1" applyBorder="1" applyAlignment="1">
      <alignment/>
    </xf>
    <xf numFmtId="166" fontId="0" fillId="2" borderId="5" xfId="21" applyNumberFormat="1" applyFill="1" applyBorder="1" applyAlignment="1">
      <alignment/>
    </xf>
    <xf numFmtId="166" fontId="0" fillId="4" borderId="2" xfId="21" applyNumberFormat="1" applyFill="1" applyBorder="1" applyAlignment="1">
      <alignment/>
    </xf>
    <xf numFmtId="166" fontId="0" fillId="0" borderId="4" xfId="21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wrapText="1"/>
    </xf>
    <xf numFmtId="0" fontId="5" fillId="0" borderId="0" xfId="20" applyFont="1" applyAlignment="1">
      <alignment/>
    </xf>
    <xf numFmtId="0" fontId="0" fillId="4" borderId="2" xfId="0" applyFill="1" applyBorder="1" applyAlignment="1">
      <alignment/>
    </xf>
    <xf numFmtId="165" fontId="0" fillId="4" borderId="2" xfId="15" applyNumberFormat="1" applyFill="1" applyBorder="1" applyAlignment="1">
      <alignment horizontal="left"/>
    </xf>
    <xf numFmtId="165" fontId="0" fillId="4" borderId="2" xfId="15" applyNumberFormat="1" applyFill="1" applyBorder="1" applyAlignment="1">
      <alignment/>
    </xf>
    <xf numFmtId="3" fontId="0" fillId="4" borderId="2" xfId="0" applyNumberFormat="1" applyFont="1" applyFill="1" applyBorder="1" applyAlignment="1" applyProtection="1">
      <alignment/>
      <protection/>
    </xf>
    <xf numFmtId="3" fontId="0" fillId="4" borderId="0" xfId="0" applyNumberFormat="1" applyFont="1" applyFill="1" applyAlignment="1">
      <alignment/>
    </xf>
    <xf numFmtId="165" fontId="0" fillId="4" borderId="2" xfId="0" applyNumberFormat="1" applyFill="1" applyBorder="1" applyAlignment="1">
      <alignment/>
    </xf>
    <xf numFmtId="0" fontId="0" fillId="4" borderId="5" xfId="0" applyFill="1" applyBorder="1" applyAlignment="1">
      <alignment/>
    </xf>
    <xf numFmtId="165" fontId="0" fillId="4" borderId="5" xfId="0" applyNumberFormat="1" applyFill="1" applyBorder="1" applyAlignment="1">
      <alignment/>
    </xf>
    <xf numFmtId="166" fontId="0" fillId="4" borderId="5" xfId="21" applyNumberFormat="1" applyFill="1" applyBorder="1" applyAlignment="1">
      <alignment/>
    </xf>
    <xf numFmtId="0" fontId="0" fillId="4" borderId="6" xfId="0" applyFill="1" applyBorder="1" applyAlignment="1">
      <alignment/>
    </xf>
    <xf numFmtId="165" fontId="0" fillId="4" borderId="6" xfId="0" applyNumberFormat="1" applyFill="1" applyBorder="1" applyAlignment="1">
      <alignment/>
    </xf>
    <xf numFmtId="166" fontId="0" fillId="4" borderId="6" xfId="21" applyNumberFormat="1" applyFill="1" applyBorder="1" applyAlignment="1">
      <alignment/>
    </xf>
    <xf numFmtId="166" fontId="0" fillId="4" borderId="2" xfId="21" applyNumberFormat="1" applyFont="1" applyFill="1" applyBorder="1" applyAlignment="1">
      <alignment/>
    </xf>
    <xf numFmtId="38" fontId="0" fillId="4" borderId="2" xfId="15" applyNumberFormat="1" applyFont="1" applyFill="1" applyBorder="1" applyAlignment="1" applyProtection="1">
      <alignment/>
      <protection/>
    </xf>
    <xf numFmtId="3" fontId="0" fillId="4" borderId="2" xfId="0" applyNumberFormat="1" applyFont="1" applyFill="1" applyBorder="1" applyAlignment="1">
      <alignment/>
    </xf>
    <xf numFmtId="0" fontId="0" fillId="0" borderId="6" xfId="0" applyBorder="1" applyAlignment="1">
      <alignment/>
    </xf>
    <xf numFmtId="171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2" borderId="3" xfId="0" applyFill="1" applyBorder="1" applyAlignment="1">
      <alignment wrapText="1"/>
    </xf>
    <xf numFmtId="166" fontId="0" fillId="5" borderId="1" xfId="21" applyNumberFormat="1" applyFill="1" applyBorder="1" applyAlignment="1">
      <alignment/>
    </xf>
    <xf numFmtId="10" fontId="0" fillId="5" borderId="0" xfId="0" applyNumberFormat="1" applyFill="1" applyAlignment="1">
      <alignment/>
    </xf>
    <xf numFmtId="166" fontId="0" fillId="5" borderId="0" xfId="21" applyNumberFormat="1" applyFill="1" applyAlignment="1">
      <alignment/>
    </xf>
    <xf numFmtId="40" fontId="0" fillId="5" borderId="1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66" fontId="0" fillId="5" borderId="0" xfId="0" applyNumberFormat="1" applyFill="1" applyBorder="1" applyAlignment="1">
      <alignment/>
    </xf>
    <xf numFmtId="0" fontId="0" fillId="2" borderId="0" xfId="0" applyFill="1" applyAlignment="1">
      <alignment/>
    </xf>
    <xf numFmtId="166" fontId="0" fillId="5" borderId="0" xfId="21" applyNumberFormat="1" applyFont="1" applyFill="1" applyAlignment="1">
      <alignment/>
    </xf>
    <xf numFmtId="166" fontId="0" fillId="5" borderId="0" xfId="21" applyNumberFormat="1" applyFont="1" applyFill="1" applyAlignment="1">
      <alignment/>
    </xf>
    <xf numFmtId="166" fontId="0" fillId="2" borderId="2" xfId="21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.gov/dls" TargetMode="External" /><Relationship Id="rId2" Type="http://schemas.openxmlformats.org/officeDocument/2006/relationships/hyperlink" Target="http://www.belmont-ma.gov/public_documents/belmontma_admin/FY11Budget/FY11TownAdmcoverletter&amp;FTEinfobydept.pdf%20%20(chart%20on%20pdf%20page%2011)" TargetMode="External" /><Relationship Id="rId3" Type="http://schemas.openxmlformats.org/officeDocument/2006/relationships/hyperlink" Target="http://www.belmont-ma.gov/public_documents/belmontma_admin/FY11Budget/FY11TownAdmcoverletter&amp;FTEinfobydept.pdf%20%20(chart%20on%20pdf%20page%2011)" TargetMode="External" /><Relationship Id="rId4" Type="http://schemas.openxmlformats.org/officeDocument/2006/relationships/hyperlink" Target="http://www.arlingtonma.gov/Public_Documents/ArlingtonMA_Financial/budget/BudgetPresentation_102609.pdf%20for%20fy11%20--%20(backing%20in%20to%20this%20amount" TargetMode="External" /><Relationship Id="rId5" Type="http://schemas.openxmlformats.org/officeDocument/2006/relationships/hyperlink" Target="http://www.arlingtonma.gov/Public_Documents/ArlingtonMA_Financial/budget/BudgetPresentation_102609.pdf%20for%20fy11%20--%201.4%%20for%20lr,%202.6%%20for%20taxes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17" sqref="A5:D17"/>
    </sheetView>
  </sheetViews>
  <sheetFormatPr defaultColWidth="9.140625" defaultRowHeight="12.75"/>
  <cols>
    <col min="1" max="1" width="41.7109375" style="0" customWidth="1"/>
    <col min="2" max="2" width="13.28125" style="0" customWidth="1"/>
    <col min="3" max="3" width="10.00390625" style="0" customWidth="1"/>
    <col min="4" max="4" width="14.00390625" style="0" bestFit="1" customWidth="1"/>
    <col min="5" max="5" width="43.00390625" style="0" customWidth="1"/>
  </cols>
  <sheetData>
    <row r="1" ht="12.75">
      <c r="A1" s="1" t="s">
        <v>72</v>
      </c>
    </row>
    <row r="2" ht="12.75">
      <c r="A2" t="s">
        <v>71</v>
      </c>
    </row>
    <row r="3" spans="1:5" ht="12.75">
      <c r="A3" s="87" t="s">
        <v>122</v>
      </c>
      <c r="B3" s="87"/>
      <c r="C3" s="87"/>
      <c r="D3" s="87"/>
      <c r="E3" s="87"/>
    </row>
    <row r="5" spans="1:4" ht="25.5">
      <c r="A5" s="40" t="s">
        <v>111</v>
      </c>
      <c r="B5" s="41" t="s">
        <v>63</v>
      </c>
      <c r="C5" s="79" t="s">
        <v>55</v>
      </c>
      <c r="D5" s="40" t="s">
        <v>64</v>
      </c>
    </row>
    <row r="6" spans="1:4" ht="12.75">
      <c r="A6" s="55" t="s">
        <v>53</v>
      </c>
      <c r="B6" s="56"/>
      <c r="C6" s="56"/>
      <c r="D6" s="55"/>
    </row>
    <row r="7" spans="1:6" ht="12.75">
      <c r="A7" s="35" t="s">
        <v>49</v>
      </c>
      <c r="B7" s="35">
        <v>52.5</v>
      </c>
      <c r="C7" s="36">
        <v>0.106</v>
      </c>
      <c r="D7" s="37">
        <f>+(1+C7)*B7</f>
        <v>58.065000000000005</v>
      </c>
      <c r="E7" s="35" t="s">
        <v>120</v>
      </c>
      <c r="F7" s="35"/>
    </row>
    <row r="8" spans="1:6" ht="12.75">
      <c r="A8" s="35" t="s">
        <v>50</v>
      </c>
      <c r="B8" s="35">
        <v>24.5</v>
      </c>
      <c r="C8" s="36">
        <v>-0.05</v>
      </c>
      <c r="D8" s="37">
        <f>+(1+C8)*B8</f>
        <v>23.275</v>
      </c>
      <c r="E8" s="35" t="s">
        <v>62</v>
      </c>
      <c r="F8" s="35"/>
    </row>
    <row r="9" spans="1:6" ht="12.75">
      <c r="A9" s="35" t="s">
        <v>51</v>
      </c>
      <c r="B9" s="35">
        <v>19</v>
      </c>
      <c r="C9" s="36">
        <v>0.08</v>
      </c>
      <c r="D9" s="37">
        <f>+(1+C9)*B9</f>
        <v>20.520000000000003</v>
      </c>
      <c r="E9" s="35" t="s">
        <v>67</v>
      </c>
      <c r="F9" s="35"/>
    </row>
    <row r="10" spans="1:6" ht="12.75">
      <c r="A10" s="35" t="s">
        <v>52</v>
      </c>
      <c r="B10" s="35">
        <v>4</v>
      </c>
      <c r="C10" s="36">
        <v>0.06</v>
      </c>
      <c r="D10" s="37">
        <f>+(1+C10)*B10</f>
        <v>4.24</v>
      </c>
      <c r="E10" s="35" t="s">
        <v>66</v>
      </c>
      <c r="F10" s="35"/>
    </row>
    <row r="11" spans="1:6" ht="13.5" thickBot="1">
      <c r="A11" s="75" t="s">
        <v>82</v>
      </c>
      <c r="B11" s="75">
        <f>SUM(B7:B10)</f>
        <v>100</v>
      </c>
      <c r="C11" s="51">
        <f>+D11/B11-1</f>
        <v>0.061000000000000165</v>
      </c>
      <c r="D11" s="76">
        <f>SUM(D7:D10)</f>
        <v>106.10000000000001</v>
      </c>
      <c r="E11" s="35" t="s">
        <v>96</v>
      </c>
      <c r="F11" s="35"/>
    </row>
    <row r="12" spans="1:6" ht="12.75">
      <c r="A12" s="73" t="s">
        <v>56</v>
      </c>
      <c r="B12" s="73"/>
      <c r="C12" s="73"/>
      <c r="D12" s="74"/>
      <c r="E12" s="35"/>
      <c r="F12" s="35"/>
    </row>
    <row r="13" spans="1:6" ht="12.75">
      <c r="A13" s="35" t="s">
        <v>65</v>
      </c>
      <c r="B13" s="35">
        <f>+B16-B14-B15</f>
        <v>81.3</v>
      </c>
      <c r="C13" s="90">
        <f>D13/B13-1</f>
        <v>0.03230082660762612</v>
      </c>
      <c r="D13" s="39">
        <f>+D16-D14-D15</f>
        <v>83.9260572032</v>
      </c>
      <c r="E13" s="42" t="s">
        <v>68</v>
      </c>
      <c r="F13" s="35"/>
    </row>
    <row r="14" spans="1:6" ht="12.75">
      <c r="A14" s="35" t="s">
        <v>57</v>
      </c>
      <c r="B14" s="35">
        <v>7.3</v>
      </c>
      <c r="C14" s="36">
        <f>1.056^3-1</f>
        <v>0.17758361600000017</v>
      </c>
      <c r="D14" s="37">
        <f>+(1+C14)*B14</f>
        <v>8.596360396800002</v>
      </c>
      <c r="E14" s="35" t="s">
        <v>75</v>
      </c>
      <c r="F14" s="35"/>
    </row>
    <row r="15" spans="1:6" ht="12.75">
      <c r="A15" s="35" t="s">
        <v>74</v>
      </c>
      <c r="B15" s="35">
        <v>11.4</v>
      </c>
      <c r="C15" s="36">
        <f>1.06^3-1</f>
        <v>0.1910160000000003</v>
      </c>
      <c r="D15" s="37">
        <f>+(1+C15)*B15</f>
        <v>13.577582400000004</v>
      </c>
      <c r="E15" s="35" t="s">
        <v>76</v>
      </c>
      <c r="F15" s="35"/>
    </row>
    <row r="16" spans="1:6" ht="12.75">
      <c r="A16" s="35" t="s">
        <v>58</v>
      </c>
      <c r="B16" s="35">
        <v>100</v>
      </c>
      <c r="C16" s="35"/>
      <c r="D16" s="37">
        <f>+D11</f>
        <v>106.10000000000001</v>
      </c>
      <c r="E16" s="35" t="s">
        <v>77</v>
      </c>
      <c r="F16" s="35"/>
    </row>
    <row r="18" spans="1:5" ht="12.75">
      <c r="A18" s="35" t="s">
        <v>69</v>
      </c>
      <c r="B18" s="35"/>
      <c r="C18" s="53">
        <f>+(1+C13)^(1/3)-1</f>
        <v>0.010653051695999283</v>
      </c>
      <c r="D18" s="35"/>
      <c r="E18" s="35"/>
    </row>
    <row r="19" spans="1:5" ht="12.75">
      <c r="A19" s="35" t="s">
        <v>70</v>
      </c>
      <c r="B19" s="35"/>
      <c r="C19" s="48">
        <v>0.043</v>
      </c>
      <c r="D19" s="35"/>
      <c r="E19" s="35" t="s">
        <v>78</v>
      </c>
    </row>
    <row r="20" spans="1:5" ht="12.75">
      <c r="A20" s="84" t="s">
        <v>121</v>
      </c>
      <c r="B20" s="85"/>
      <c r="C20" s="86"/>
      <c r="D20" s="85"/>
      <c r="E20" s="85"/>
    </row>
    <row r="21" spans="1:5" ht="12.75">
      <c r="A21" s="77"/>
      <c r="B21" s="77"/>
      <c r="C21" s="78"/>
      <c r="D21" s="77"/>
      <c r="E21" s="77"/>
    </row>
    <row r="22" spans="1:5" ht="12.75">
      <c r="A22" s="77"/>
      <c r="B22" s="77"/>
      <c r="C22" s="78"/>
      <c r="D22" s="77"/>
      <c r="E22" s="77"/>
    </row>
    <row r="23" ht="12.75">
      <c r="A23" s="1" t="s">
        <v>114</v>
      </c>
    </row>
    <row r="24" spans="1:4" ht="25.5">
      <c r="A24" s="41" t="s">
        <v>79</v>
      </c>
      <c r="B24" s="41" t="s">
        <v>80</v>
      </c>
      <c r="C24" s="79" t="s">
        <v>55</v>
      </c>
      <c r="D24" s="41" t="s">
        <v>64</v>
      </c>
    </row>
    <row r="25" spans="1:4" ht="12.75">
      <c r="A25" s="56" t="s">
        <v>53</v>
      </c>
      <c r="B25" s="56"/>
      <c r="C25" s="56"/>
      <c r="D25" s="56"/>
    </row>
    <row r="26" spans="1:5" ht="12.75">
      <c r="A26" s="58" t="s">
        <v>49</v>
      </c>
      <c r="B26" s="59">
        <v>62798969</v>
      </c>
      <c r="C26" s="53">
        <f>+D26/B26-1</f>
        <v>0.12429086216367669</v>
      </c>
      <c r="D26" s="60">
        <v>70604307</v>
      </c>
      <c r="E26" t="s">
        <v>83</v>
      </c>
    </row>
    <row r="27" spans="1:6" ht="12.75">
      <c r="A27" s="58" t="s">
        <v>50</v>
      </c>
      <c r="B27" s="61">
        <v>7019680</v>
      </c>
      <c r="C27" s="53">
        <f>+D27/B27-1</f>
        <v>0.0966999920224283</v>
      </c>
      <c r="D27" s="62">
        <v>7698483</v>
      </c>
      <c r="E27" t="s">
        <v>81</v>
      </c>
      <c r="F27" s="46" t="s">
        <v>84</v>
      </c>
    </row>
    <row r="28" spans="1:4" ht="12.75">
      <c r="A28" s="58" t="s">
        <v>51</v>
      </c>
      <c r="B28" s="63">
        <f>66270131-B26</f>
        <v>3471162</v>
      </c>
      <c r="C28" s="53">
        <f>+D28/B28-1</f>
        <v>-0.2783396453406669</v>
      </c>
      <c r="D28" s="63">
        <f>73109307-D26</f>
        <v>2505000</v>
      </c>
    </row>
    <row r="29" spans="1:5" ht="12.75">
      <c r="A29" s="58" t="s">
        <v>52</v>
      </c>
      <c r="B29" s="60">
        <v>6600025</v>
      </c>
      <c r="C29" s="53">
        <f>+D29/B29-1</f>
        <v>-0.5946041113480631</v>
      </c>
      <c r="D29" s="60">
        <v>2675623</v>
      </c>
      <c r="E29" t="s">
        <v>99</v>
      </c>
    </row>
    <row r="30" spans="1:5" ht="13.5" thickBot="1">
      <c r="A30" s="75" t="s">
        <v>82</v>
      </c>
      <c r="B30" s="65">
        <f>SUM(B26:B29)</f>
        <v>79889836</v>
      </c>
      <c r="C30" s="66">
        <f>+D30/B30-1</f>
        <v>0.04498165448731184</v>
      </c>
      <c r="D30" s="65">
        <f>SUM(D26:D29)</f>
        <v>83483413</v>
      </c>
      <c r="E30" s="57" t="s">
        <v>100</v>
      </c>
    </row>
    <row r="31" spans="1:4" ht="12.75">
      <c r="A31" s="67" t="s">
        <v>56</v>
      </c>
      <c r="B31" s="68"/>
      <c r="C31" s="69"/>
      <c r="D31" s="68"/>
    </row>
    <row r="32" spans="1:5" ht="12.75">
      <c r="A32" s="58" t="s">
        <v>85</v>
      </c>
      <c r="B32" s="60">
        <v>3924665</v>
      </c>
      <c r="C32" s="53">
        <f>+D32/B32-1</f>
        <v>0.1637507914688261</v>
      </c>
      <c r="D32" s="60">
        <v>4567332</v>
      </c>
      <c r="E32" t="s">
        <v>92</v>
      </c>
    </row>
    <row r="33" spans="1:4" ht="12.75">
      <c r="A33" s="58" t="s">
        <v>86</v>
      </c>
      <c r="B33" s="60">
        <v>27545</v>
      </c>
      <c r="C33" s="53">
        <f aca="true" t="shared" si="0" ref="C33:C40">+D33/B33-1</f>
        <v>0.8152114721365038</v>
      </c>
      <c r="D33" s="60">
        <v>50000</v>
      </c>
    </row>
    <row r="34" spans="1:4" ht="12.75">
      <c r="A34" s="58" t="s">
        <v>87</v>
      </c>
      <c r="B34" s="60">
        <v>-21959</v>
      </c>
      <c r="C34" s="53">
        <f t="shared" si="0"/>
        <v>-2.138485359078282</v>
      </c>
      <c r="D34" s="60">
        <v>25000</v>
      </c>
    </row>
    <row r="35" spans="1:4" ht="12.75">
      <c r="A35" s="58" t="s">
        <v>88</v>
      </c>
      <c r="B35" s="60">
        <v>10529</v>
      </c>
      <c r="C35" s="53">
        <f t="shared" si="0"/>
        <v>0.45312945198974264</v>
      </c>
      <c r="D35" s="60">
        <v>15300</v>
      </c>
    </row>
    <row r="36" spans="1:4" ht="12.75">
      <c r="A36" s="58" t="s">
        <v>89</v>
      </c>
      <c r="B36" s="60"/>
      <c r="C36" s="53"/>
      <c r="D36" s="60">
        <v>130000</v>
      </c>
    </row>
    <row r="37" spans="1:5" ht="12.75">
      <c r="A37" s="58" t="s">
        <v>91</v>
      </c>
      <c r="B37" s="60">
        <v>9599000</v>
      </c>
      <c r="C37" s="53">
        <f t="shared" si="0"/>
        <v>-0.04396291280341702</v>
      </c>
      <c r="D37" s="60">
        <v>9177000</v>
      </c>
      <c r="E37" s="46" t="s">
        <v>98</v>
      </c>
    </row>
    <row r="38" spans="1:4" ht="12.75">
      <c r="A38" s="47" t="s">
        <v>90</v>
      </c>
      <c r="B38" s="44">
        <v>4687881</v>
      </c>
      <c r="C38" s="43">
        <f t="shared" si="0"/>
        <v>0.3091221812157774</v>
      </c>
      <c r="D38" s="44">
        <v>6137009</v>
      </c>
    </row>
    <row r="39" spans="1:4" ht="12.75">
      <c r="A39" s="47" t="s">
        <v>94</v>
      </c>
      <c r="B39" s="44">
        <f>SUM(B32:B38)</f>
        <v>18227661</v>
      </c>
      <c r="C39" s="43">
        <f t="shared" si="0"/>
        <v>0.10280968029853099</v>
      </c>
      <c r="D39" s="44">
        <f>SUM(D32:D38)</f>
        <v>20101641</v>
      </c>
    </row>
    <row r="40" spans="1:5" ht="13.5" thickBot="1">
      <c r="A40" s="49" t="s">
        <v>93</v>
      </c>
      <c r="B40" s="50">
        <f>+B30-B39</f>
        <v>61662175</v>
      </c>
      <c r="C40" s="52">
        <f t="shared" si="0"/>
        <v>0.02788738801380264</v>
      </c>
      <c r="D40" s="50">
        <f>+D30-D39</f>
        <v>63381772</v>
      </c>
      <c r="E40" t="s">
        <v>95</v>
      </c>
    </row>
    <row r="41" spans="1:3" ht="12.75">
      <c r="A41" s="45" t="s">
        <v>97</v>
      </c>
      <c r="C41" s="54">
        <f>+(1+C40)^(1/3)-1</f>
        <v>0.009210698567257092</v>
      </c>
    </row>
    <row r="43" spans="1:4" ht="25.5">
      <c r="A43" s="41" t="s">
        <v>109</v>
      </c>
      <c r="B43" s="41" t="s">
        <v>110</v>
      </c>
      <c r="C43" s="41" t="s">
        <v>55</v>
      </c>
      <c r="D43" s="41" t="s">
        <v>64</v>
      </c>
    </row>
    <row r="44" spans="1:4" ht="12.75">
      <c r="A44" s="56" t="s">
        <v>53</v>
      </c>
      <c r="B44" s="56"/>
      <c r="C44" s="56"/>
      <c r="D44" s="56"/>
    </row>
    <row r="45" spans="1:5" ht="12.75">
      <c r="A45" s="58" t="s">
        <v>49</v>
      </c>
      <c r="B45" s="71">
        <v>82464899</v>
      </c>
      <c r="C45" s="53">
        <f>+D45/B45-1</f>
        <v>0.03437948793219281</v>
      </c>
      <c r="D45" s="60">
        <v>85300000</v>
      </c>
      <c r="E45" s="46" t="s">
        <v>102</v>
      </c>
    </row>
    <row r="46" spans="1:5" ht="12.75">
      <c r="A46" s="58" t="s">
        <v>50</v>
      </c>
      <c r="B46" s="61">
        <v>15972745</v>
      </c>
      <c r="C46" s="53">
        <f>+D46/B46-1</f>
        <v>-0.142197537117133</v>
      </c>
      <c r="D46" s="72">
        <f>13571719+129741</f>
        <v>13701460</v>
      </c>
      <c r="E46" t="s">
        <v>106</v>
      </c>
    </row>
    <row r="47" spans="1:5" ht="12.75">
      <c r="A47" s="58" t="s">
        <v>103</v>
      </c>
      <c r="B47" s="63">
        <f>+B48-B46-B45</f>
        <v>8562356</v>
      </c>
      <c r="C47" s="53">
        <f>+D47/B47-1</f>
        <v>0.5064241664326967</v>
      </c>
      <c r="D47" s="63">
        <f>+D48-D46-D45</f>
        <v>12898540</v>
      </c>
      <c r="E47" s="46" t="s">
        <v>105</v>
      </c>
    </row>
    <row r="48" spans="1:5" ht="13.5" thickBot="1">
      <c r="A48" s="64" t="s">
        <v>82</v>
      </c>
      <c r="B48" s="63">
        <v>107000000</v>
      </c>
      <c r="C48" s="53">
        <f>+D48/B48-1</f>
        <v>0.04579439252336459</v>
      </c>
      <c r="D48" s="63">
        <v>111900000</v>
      </c>
      <c r="E48" t="s">
        <v>104</v>
      </c>
    </row>
    <row r="49" spans="1:4" ht="12.75">
      <c r="A49" s="67" t="s">
        <v>56</v>
      </c>
      <c r="B49" s="63"/>
      <c r="C49" s="53"/>
      <c r="D49" s="63"/>
    </row>
    <row r="50" spans="1:5" ht="12.75">
      <c r="A50" s="58" t="s">
        <v>101</v>
      </c>
      <c r="B50" s="60">
        <f>+D50/(1+C50)</f>
        <v>21331455.09200448</v>
      </c>
      <c r="C50" s="70">
        <f>(1.075)^3-1</f>
        <v>0.24229687499999986</v>
      </c>
      <c r="D50" s="60">
        <v>26500000</v>
      </c>
      <c r="E50" t="s">
        <v>107</v>
      </c>
    </row>
    <row r="51" spans="1:5" ht="12.75">
      <c r="A51" s="47" t="s">
        <v>90</v>
      </c>
      <c r="B51" s="44">
        <f>3231757+4075799</f>
        <v>7307556</v>
      </c>
      <c r="C51" s="43">
        <f>+D51/B51-1</f>
        <v>-0.013598527332530863</v>
      </c>
      <c r="D51" s="44">
        <f>2618094+4590090</f>
        <v>7208184</v>
      </c>
      <c r="E51" t="s">
        <v>108</v>
      </c>
    </row>
    <row r="52" spans="1:4" ht="12.75">
      <c r="A52" s="47" t="s">
        <v>112</v>
      </c>
      <c r="B52" s="44">
        <f>SUM(B50:B51)</f>
        <v>28639011.09200448</v>
      </c>
      <c r="C52" s="43">
        <f>+D52/B52-1</f>
        <v>0.17700237245310269</v>
      </c>
      <c r="D52" s="44">
        <f>SUM(D50:D51)</f>
        <v>33708184</v>
      </c>
    </row>
    <row r="53" spans="1:5" ht="13.5" thickBot="1">
      <c r="A53" s="49" t="s">
        <v>93</v>
      </c>
      <c r="B53" s="50">
        <f>+B48-B52</f>
        <v>78360988.90799552</v>
      </c>
      <c r="C53" s="52">
        <f>+D53/B53-1</f>
        <v>-0.002158891948060404</v>
      </c>
      <c r="D53" s="50">
        <f>+D48-D52</f>
        <v>78191816</v>
      </c>
      <c r="E53" t="s">
        <v>113</v>
      </c>
    </row>
    <row r="54" spans="1:3" ht="12.75">
      <c r="A54" s="45" t="s">
        <v>97</v>
      </c>
      <c r="C54" s="54">
        <f>+(1+C53)^(1/3)-1</f>
        <v>-0.0007201491396434667</v>
      </c>
    </row>
  </sheetData>
  <hyperlinks>
    <hyperlink ref="F27" r:id="rId1" display="www.mass.gov/dls"/>
    <hyperlink ref="E37" r:id="rId2" display="http://www.belmont-ma.gov/public_documents/belmontma_admin/FY11Budget/FY11TownAdmcoverletter&amp;FTEinfobydept.pdf  (chart on pdf page 11)"/>
    <hyperlink ref="E30" r:id="rId3" display="http://www.belmont-ma.gov/public_documents/belmontma_admin/FY11Budget/FY11TownAdmcoverletter&amp;FTEinfobydept.pdf  (chart on pdf page 11)"/>
    <hyperlink ref="E47" r:id="rId4" display="http://www.arlingtonma.gov/Public_Documents/ArlingtonMA_Financial/budget/BudgetPresentation_102609.pdf for fy11 -- (backing in to this amount"/>
    <hyperlink ref="E45" r:id="rId5" display="http://www.arlingtonma.gov/Public_Documents/ArlingtonMA_Financial/budget/BudgetPresentation_102609.pdf for fy11 -- 1.4% for lr, 2.6% for taxes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H47" sqref="H47"/>
    </sheetView>
  </sheetViews>
  <sheetFormatPr defaultColWidth="9.140625" defaultRowHeight="12.75"/>
  <cols>
    <col min="2" max="2" width="17.7109375" style="0" bestFit="1" customWidth="1"/>
    <col min="4" max="5" width="14.00390625" style="0" bestFit="1" customWidth="1"/>
    <col min="6" max="6" width="8.57421875" style="0" customWidth="1"/>
    <col min="7" max="7" width="13.57421875" style="0" customWidth="1"/>
    <col min="8" max="8" width="12.28125" style="0" customWidth="1"/>
    <col min="9" max="9" width="13.8515625" style="0" bestFit="1" customWidth="1"/>
  </cols>
  <sheetData>
    <row r="1" ht="12.75">
      <c r="A1" t="s">
        <v>26</v>
      </c>
    </row>
    <row r="2" spans="1:13" ht="12.75">
      <c r="A2" s="2"/>
      <c r="B2" s="8"/>
      <c r="D2" s="8"/>
      <c r="E2" s="9"/>
      <c r="F2" s="9"/>
      <c r="G2" s="8"/>
      <c r="H2" s="8"/>
      <c r="I2" s="9"/>
      <c r="J2" s="10" t="s">
        <v>9</v>
      </c>
      <c r="K2" s="11"/>
      <c r="L2" s="11"/>
      <c r="M2" s="11"/>
    </row>
    <row r="3" spans="1:13" ht="63.75">
      <c r="A3" s="5" t="s">
        <v>10</v>
      </c>
      <c r="B3" s="5" t="s">
        <v>11</v>
      </c>
      <c r="C3" s="15" t="s">
        <v>15</v>
      </c>
      <c r="D3" s="5" t="s">
        <v>12</v>
      </c>
      <c r="E3" s="5" t="s">
        <v>13</v>
      </c>
      <c r="F3" s="15" t="s">
        <v>16</v>
      </c>
      <c r="G3" s="5" t="s">
        <v>14</v>
      </c>
      <c r="H3" s="15" t="s">
        <v>59</v>
      </c>
      <c r="I3" s="5" t="s">
        <v>6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12.75">
      <c r="A4" s="2"/>
      <c r="B4" s="8"/>
      <c r="D4" s="8"/>
      <c r="E4" s="8"/>
      <c r="F4" s="8"/>
      <c r="G4" s="8"/>
      <c r="H4" s="8"/>
      <c r="I4" s="8"/>
      <c r="J4" s="2"/>
      <c r="K4" s="2"/>
      <c r="L4" s="2"/>
      <c r="M4" s="2"/>
    </row>
    <row r="5" spans="1:13" ht="12.75">
      <c r="A5" s="2">
        <v>1981</v>
      </c>
      <c r="B5" s="12">
        <v>3346827403</v>
      </c>
      <c r="C5" s="14"/>
      <c r="D5" s="12">
        <v>1143488228</v>
      </c>
      <c r="E5" s="12">
        <v>785456205</v>
      </c>
      <c r="F5" s="14"/>
      <c r="G5" s="12">
        <v>405840027</v>
      </c>
      <c r="H5" s="14"/>
      <c r="I5" s="12">
        <f aca="true" t="shared" si="0" ref="I5:I31">SUM(B5:G5)</f>
        <v>5681611863</v>
      </c>
      <c r="J5" s="13">
        <f>B5/I5*100</f>
        <v>58.90630130501049</v>
      </c>
      <c r="K5" s="13">
        <f>D5/I5*100</f>
        <v>20.126123634855556</v>
      </c>
      <c r="L5" s="13">
        <f>E5/I5*100</f>
        <v>13.824531205925497</v>
      </c>
      <c r="M5" s="13">
        <f>G5/I5*100</f>
        <v>7.143043854208455</v>
      </c>
    </row>
    <row r="6" spans="1:13" ht="12.75">
      <c r="A6" s="2">
        <v>1982</v>
      </c>
      <c r="B6" s="12">
        <v>3035539705</v>
      </c>
      <c r="C6" s="14">
        <f aca="true" t="shared" si="1" ref="C6:C33">+B6/B5-1</f>
        <v>-0.09300978524347281</v>
      </c>
      <c r="D6" s="12">
        <v>1386565427</v>
      </c>
      <c r="E6" s="12">
        <v>717990289</v>
      </c>
      <c r="F6" s="14">
        <f aca="true" t="shared" si="2" ref="F6:F33">+E6/E5-1</f>
        <v>-0.08589392453777867</v>
      </c>
      <c r="G6" s="12">
        <v>434291415</v>
      </c>
      <c r="H6" s="14">
        <f aca="true" t="shared" si="3" ref="H6:H33">+G6/G5-1</f>
        <v>0.07010493324257538</v>
      </c>
      <c r="I6" s="12">
        <f t="shared" si="0"/>
        <v>5574386835.821096</v>
      </c>
      <c r="J6" s="13">
        <f aca="true" t="shared" si="4" ref="J6:J12">B6/I6*100</f>
        <v>54.45513191681594</v>
      </c>
      <c r="K6" s="13">
        <f aca="true" t="shared" si="5" ref="K6:K12">D6/I6*100</f>
        <v>24.8738644776123</v>
      </c>
      <c r="L6" s="13">
        <f aca="true" t="shared" si="6" ref="L6:L12">E6/I6*100</f>
        <v>12.88016619848094</v>
      </c>
      <c r="M6" s="13">
        <f aca="true" t="shared" si="7" ref="M6:M12">G6/I6*100</f>
        <v>7.790837410300208</v>
      </c>
    </row>
    <row r="7" spans="1:13" ht="12.75">
      <c r="A7" s="2">
        <v>1983</v>
      </c>
      <c r="B7" s="12">
        <v>2959071151</v>
      </c>
      <c r="C7" s="14">
        <f t="shared" si="1"/>
        <v>-0.025191090030561747</v>
      </c>
      <c r="D7" s="12">
        <v>1564872670</v>
      </c>
      <c r="E7" s="12">
        <v>797903902</v>
      </c>
      <c r="F7" s="14">
        <f t="shared" si="2"/>
        <v>0.11130180202200468</v>
      </c>
      <c r="G7" s="12">
        <v>485301314</v>
      </c>
      <c r="H7" s="14">
        <f t="shared" si="3"/>
        <v>0.11745546248018734</v>
      </c>
      <c r="I7" s="12">
        <f t="shared" si="0"/>
        <v>5807149037.08611</v>
      </c>
      <c r="J7" s="13">
        <f t="shared" si="4"/>
        <v>50.9556605505133</v>
      </c>
      <c r="K7" s="13">
        <f t="shared" si="5"/>
        <v>26.947348173884926</v>
      </c>
      <c r="L7" s="13">
        <f t="shared" si="6"/>
        <v>13.740027970771166</v>
      </c>
      <c r="M7" s="13">
        <f t="shared" si="7"/>
        <v>8.356963303347777</v>
      </c>
    </row>
    <row r="8" spans="1:13" ht="12.75">
      <c r="A8" s="2">
        <v>1984</v>
      </c>
      <c r="B8" s="12">
        <v>2994902334</v>
      </c>
      <c r="C8" s="14">
        <f t="shared" si="1"/>
        <v>0.012108929177958805</v>
      </c>
      <c r="D8" s="12">
        <v>1672868509</v>
      </c>
      <c r="E8" s="12">
        <v>875163471</v>
      </c>
      <c r="F8" s="14">
        <f t="shared" si="2"/>
        <v>0.09682816289824325</v>
      </c>
      <c r="G8" s="12">
        <v>468819084</v>
      </c>
      <c r="H8" s="14">
        <f t="shared" si="3"/>
        <v>-0.03396287939991027</v>
      </c>
      <c r="I8" s="12">
        <f t="shared" si="0"/>
        <v>6011753398.108937</v>
      </c>
      <c r="J8" s="13">
        <f t="shared" si="4"/>
        <v>49.81745150993851</v>
      </c>
      <c r="K8" s="13">
        <f t="shared" si="5"/>
        <v>27.826632235550765</v>
      </c>
      <c r="L8" s="13">
        <f t="shared" si="6"/>
        <v>14.557541087352192</v>
      </c>
      <c r="M8" s="13">
        <f t="shared" si="7"/>
        <v>7.798375165346472</v>
      </c>
    </row>
    <row r="9" spans="1:13" ht="12.75">
      <c r="A9" s="2">
        <v>1985</v>
      </c>
      <c r="B9" s="12">
        <v>3126007886</v>
      </c>
      <c r="C9" s="14">
        <f t="shared" si="1"/>
        <v>0.04377623621031246</v>
      </c>
      <c r="D9" s="12">
        <v>1868191161</v>
      </c>
      <c r="E9" s="12">
        <v>1010045960</v>
      </c>
      <c r="F9" s="14">
        <f t="shared" si="2"/>
        <v>0.15412262219523098</v>
      </c>
      <c r="G9" s="12">
        <v>452034123</v>
      </c>
      <c r="H9" s="14">
        <f t="shared" si="3"/>
        <v>-0.03580264023552415</v>
      </c>
      <c r="I9" s="12">
        <f t="shared" si="0"/>
        <v>6456279130.197898</v>
      </c>
      <c r="J9" s="13">
        <f t="shared" si="4"/>
        <v>48.418103104909925</v>
      </c>
      <c r="K9" s="13">
        <f t="shared" si="5"/>
        <v>28.936034569229292</v>
      </c>
      <c r="L9" s="13">
        <f t="shared" si="6"/>
        <v>15.644397332137034</v>
      </c>
      <c r="M9" s="13">
        <f t="shared" si="7"/>
        <v>7.0014649906585475</v>
      </c>
    </row>
    <row r="10" spans="1:13" ht="12.75">
      <c r="A10" s="2">
        <v>1986</v>
      </c>
      <c r="B10" s="12">
        <v>3309379108</v>
      </c>
      <c r="C10" s="14">
        <f t="shared" si="1"/>
        <v>0.05865987185164756</v>
      </c>
      <c r="D10" s="12">
        <v>2028539402</v>
      </c>
      <c r="E10" s="12">
        <v>1098291807</v>
      </c>
      <c r="F10" s="14">
        <f t="shared" si="2"/>
        <v>0.08736815005923093</v>
      </c>
      <c r="G10" s="12">
        <v>513956419</v>
      </c>
      <c r="H10" s="14">
        <f t="shared" si="3"/>
        <v>0.13698588856310745</v>
      </c>
      <c r="I10" s="12">
        <f t="shared" si="0"/>
        <v>6950166736.1460285</v>
      </c>
      <c r="J10" s="13">
        <f t="shared" si="4"/>
        <v>47.615823240452215</v>
      </c>
      <c r="K10" s="13">
        <f t="shared" si="5"/>
        <v>29.186917077112533</v>
      </c>
      <c r="L10" s="13">
        <f t="shared" si="6"/>
        <v>15.802380700999114</v>
      </c>
      <c r="M10" s="13">
        <f t="shared" si="7"/>
        <v>7.394878979335055</v>
      </c>
    </row>
    <row r="11" spans="1:13" ht="12.75">
      <c r="A11" s="2">
        <v>1987</v>
      </c>
      <c r="B11" s="12">
        <v>3536290776</v>
      </c>
      <c r="C11" s="14">
        <f t="shared" si="1"/>
        <v>0.06856623571819553</v>
      </c>
      <c r="D11" s="12">
        <v>2380796816</v>
      </c>
      <c r="E11" s="12">
        <v>1234186851</v>
      </c>
      <c r="F11" s="14">
        <f t="shared" si="2"/>
        <v>0.12373309455089099</v>
      </c>
      <c r="G11" s="12">
        <v>507524161</v>
      </c>
      <c r="H11" s="14">
        <f t="shared" si="3"/>
        <v>-0.012515181759019889</v>
      </c>
      <c r="I11" s="12">
        <f t="shared" si="0"/>
        <v>7658798604.1923</v>
      </c>
      <c r="J11" s="13">
        <f t="shared" si="4"/>
        <v>46.17291769578969</v>
      </c>
      <c r="K11" s="13">
        <f t="shared" si="5"/>
        <v>31.085773879689054</v>
      </c>
      <c r="L11" s="13">
        <f t="shared" si="6"/>
        <v>16.114627303614256</v>
      </c>
      <c r="M11" s="13">
        <f t="shared" si="7"/>
        <v>6.626681118396164</v>
      </c>
    </row>
    <row r="12" spans="1:13" ht="12.75">
      <c r="A12" s="2">
        <v>1988</v>
      </c>
      <c r="B12" s="12">
        <v>3804782026</v>
      </c>
      <c r="C12" s="14">
        <f t="shared" si="1"/>
        <v>0.07592453986594916</v>
      </c>
      <c r="D12" s="12">
        <v>2582268195</v>
      </c>
      <c r="E12" s="12">
        <v>1357345020</v>
      </c>
      <c r="F12" s="14">
        <f t="shared" si="2"/>
        <v>0.09978891680802704</v>
      </c>
      <c r="G12" s="12">
        <v>524420147</v>
      </c>
      <c r="H12" s="14">
        <f t="shared" si="3"/>
        <v>0.033290998337318634</v>
      </c>
      <c r="I12" s="12">
        <f t="shared" si="0"/>
        <v>8268815388.175713</v>
      </c>
      <c r="J12" s="13">
        <f t="shared" si="4"/>
        <v>46.013628886197935</v>
      </c>
      <c r="K12" s="13">
        <f t="shared" si="5"/>
        <v>31.228998033897415</v>
      </c>
      <c r="L12" s="13">
        <f t="shared" si="6"/>
        <v>16.415229464924128</v>
      </c>
      <c r="M12" s="13">
        <f t="shared" si="7"/>
        <v>6.342143612855517</v>
      </c>
    </row>
    <row r="13" spans="1:13" ht="12.75">
      <c r="A13" s="2">
        <v>1989</v>
      </c>
      <c r="B13" s="12">
        <v>4122104932</v>
      </c>
      <c r="C13" s="14">
        <f t="shared" si="1"/>
        <v>0.08340107365719573</v>
      </c>
      <c r="D13" s="12">
        <v>2693778428</v>
      </c>
      <c r="E13" s="12">
        <v>1551799001</v>
      </c>
      <c r="F13" s="14">
        <f t="shared" si="2"/>
        <v>0.14326054034515123</v>
      </c>
      <c r="G13" s="12">
        <v>562753952</v>
      </c>
      <c r="H13" s="14">
        <f t="shared" si="3"/>
        <v>0.07309750630156464</v>
      </c>
      <c r="I13" s="12">
        <f t="shared" si="0"/>
        <v>8930436313.226662</v>
      </c>
      <c r="J13" s="13">
        <f>B13/I13*100</f>
        <v>46.157934365366295</v>
      </c>
      <c r="K13" s="13">
        <f>D13/I13*100</f>
        <v>30.164018123171736</v>
      </c>
      <c r="L13" s="13">
        <f>E13/I13*100</f>
        <v>17.376519428302363</v>
      </c>
      <c r="M13" s="13">
        <f>G13/I13*100</f>
        <v>6.301528080621528</v>
      </c>
    </row>
    <row r="14" spans="1:13" ht="12.75">
      <c r="A14" s="2">
        <v>1990</v>
      </c>
      <c r="B14" s="6">
        <v>4464634291</v>
      </c>
      <c r="C14" s="14">
        <f t="shared" si="1"/>
        <v>0.08309573983450447</v>
      </c>
      <c r="D14" s="6">
        <v>2464643603</v>
      </c>
      <c r="E14" s="6">
        <v>1832061154</v>
      </c>
      <c r="F14" s="14">
        <f t="shared" si="2"/>
        <v>0.18060467420032844</v>
      </c>
      <c r="G14" s="6">
        <v>577706585</v>
      </c>
      <c r="H14" s="14">
        <f t="shared" si="3"/>
        <v>0.026570462893879432</v>
      </c>
      <c r="I14" s="12">
        <f t="shared" si="0"/>
        <v>9339045633.2637</v>
      </c>
      <c r="J14" s="13">
        <f aca="true" t="shared" si="8" ref="J14:J29">B14/I14*100</f>
        <v>47.8061085288835</v>
      </c>
      <c r="K14" s="13">
        <f aca="true" t="shared" si="9" ref="K14:K29">D14/I14*100</f>
        <v>26.3907437631685</v>
      </c>
      <c r="L14" s="13">
        <f aca="true" t="shared" si="10" ref="L14:L29">E14/I14*100</f>
        <v>19.617220280781012</v>
      </c>
      <c r="M14" s="13">
        <f aca="true" t="shared" si="11" ref="M14:M29">G14/I14*100</f>
        <v>6.185927424343357</v>
      </c>
    </row>
    <row r="15" spans="1:13" ht="12.75">
      <c r="A15" s="2">
        <v>1991</v>
      </c>
      <c r="B15" s="6">
        <v>4775254916</v>
      </c>
      <c r="C15" s="14">
        <f t="shared" si="1"/>
        <v>0.06957358761190413</v>
      </c>
      <c r="D15" s="6">
        <v>2342154458</v>
      </c>
      <c r="E15" s="6">
        <v>1917673486</v>
      </c>
      <c r="F15" s="14">
        <f t="shared" si="2"/>
        <v>0.04673006237432609</v>
      </c>
      <c r="G15" s="6">
        <v>568675283</v>
      </c>
      <c r="H15" s="14">
        <f t="shared" si="3"/>
        <v>-0.015633025889777552</v>
      </c>
      <c r="I15" s="12">
        <f t="shared" si="0"/>
        <v>9603758143.116302</v>
      </c>
      <c r="J15" s="13">
        <f t="shared" si="8"/>
        <v>49.722773572997205</v>
      </c>
      <c r="K15" s="13">
        <f t="shared" si="9"/>
        <v>24.38789506250518</v>
      </c>
      <c r="L15" s="13">
        <f t="shared" si="10"/>
        <v>19.967948561621508</v>
      </c>
      <c r="M15" s="13">
        <f t="shared" si="11"/>
        <v>5.9213828016650965</v>
      </c>
    </row>
    <row r="16" spans="1:13" ht="12.75">
      <c r="A16" s="2">
        <v>1992</v>
      </c>
      <c r="B16" s="6">
        <v>5017705745</v>
      </c>
      <c r="C16" s="14">
        <f t="shared" si="1"/>
        <v>0.05077233221364641</v>
      </c>
      <c r="D16" s="6">
        <v>2057507189</v>
      </c>
      <c r="E16" s="6">
        <v>2045127785</v>
      </c>
      <c r="F16" s="14">
        <f t="shared" si="2"/>
        <v>0.06646298232232017</v>
      </c>
      <c r="G16" s="6">
        <v>464175959</v>
      </c>
      <c r="H16" s="14">
        <f t="shared" si="3"/>
        <v>-0.18375921571397014</v>
      </c>
      <c r="I16" s="12">
        <f t="shared" si="0"/>
        <v>9584516678.117237</v>
      </c>
      <c r="J16" s="13">
        <f t="shared" si="8"/>
        <v>52.35220422179565</v>
      </c>
      <c r="K16" s="13">
        <f t="shared" si="9"/>
        <v>21.46698950086414</v>
      </c>
      <c r="L16" s="13">
        <f t="shared" si="10"/>
        <v>21.337829059959866</v>
      </c>
      <c r="M16" s="13">
        <f t="shared" si="11"/>
        <v>4.842977216157151</v>
      </c>
    </row>
    <row r="17" spans="1:13" ht="12.75">
      <c r="A17" s="2">
        <v>1993</v>
      </c>
      <c r="B17" s="6">
        <v>5249675623</v>
      </c>
      <c r="C17" s="14">
        <f t="shared" si="1"/>
        <v>0.04623026733505675</v>
      </c>
      <c r="D17" s="6">
        <v>2191009153</v>
      </c>
      <c r="E17" s="6">
        <v>2035899378</v>
      </c>
      <c r="F17" s="14">
        <f t="shared" si="2"/>
        <v>-0.004512386496181686</v>
      </c>
      <c r="G17" s="6">
        <v>452635275</v>
      </c>
      <c r="H17" s="14">
        <f t="shared" si="3"/>
        <v>-0.024862735297327188</v>
      </c>
      <c r="I17" s="12">
        <f t="shared" si="0"/>
        <v>9929219429.041718</v>
      </c>
      <c r="J17" s="13">
        <f t="shared" si="8"/>
        <v>52.870980045474255</v>
      </c>
      <c r="K17" s="13">
        <f t="shared" si="9"/>
        <v>22.06627790490332</v>
      </c>
      <c r="L17" s="13">
        <f t="shared" si="10"/>
        <v>20.50412313424407</v>
      </c>
      <c r="M17" s="13">
        <f t="shared" si="11"/>
        <v>4.558618914958196</v>
      </c>
    </row>
    <row r="18" spans="1:13" ht="12.75">
      <c r="A18" s="2">
        <v>1994</v>
      </c>
      <c r="B18" s="6">
        <v>5464414052</v>
      </c>
      <c r="C18" s="14">
        <f t="shared" si="1"/>
        <v>0.04090508527025616</v>
      </c>
      <c r="D18" s="6">
        <v>2349182814</v>
      </c>
      <c r="E18" s="6">
        <v>2074561533</v>
      </c>
      <c r="F18" s="14">
        <f t="shared" si="2"/>
        <v>0.018990209151682258</v>
      </c>
      <c r="G18" s="6">
        <v>505777439</v>
      </c>
      <c r="H18" s="14">
        <f t="shared" si="3"/>
        <v>0.11740614780851977</v>
      </c>
      <c r="I18" s="12">
        <f t="shared" si="0"/>
        <v>10393935838.059895</v>
      </c>
      <c r="J18" s="13">
        <f t="shared" si="8"/>
        <v>52.573097786410564</v>
      </c>
      <c r="K18" s="13">
        <f t="shared" si="9"/>
        <v>22.601475038915503</v>
      </c>
      <c r="L18" s="13">
        <f t="shared" si="10"/>
        <v>19.959345192448602</v>
      </c>
      <c r="M18" s="13">
        <f t="shared" si="11"/>
        <v>4.866081981649091</v>
      </c>
    </row>
    <row r="19" spans="1:13" ht="12.75">
      <c r="A19" s="2">
        <v>1995</v>
      </c>
      <c r="B19" s="6">
        <v>5701066408</v>
      </c>
      <c r="C19" s="14">
        <f t="shared" si="1"/>
        <v>0.04330791073809359</v>
      </c>
      <c r="D19" s="6">
        <v>2551580915</v>
      </c>
      <c r="E19" s="6">
        <v>2193878042</v>
      </c>
      <c r="F19" s="14">
        <f t="shared" si="2"/>
        <v>0.05751408531491364</v>
      </c>
      <c r="G19" s="6">
        <v>489846880</v>
      </c>
      <c r="H19" s="14">
        <f t="shared" si="3"/>
        <v>-0.03149717201996427</v>
      </c>
      <c r="I19" s="12">
        <f t="shared" si="0"/>
        <v>10936372245.100822</v>
      </c>
      <c r="J19" s="13">
        <f t="shared" si="8"/>
        <v>52.12941074270686</v>
      </c>
      <c r="K19" s="13">
        <f t="shared" si="9"/>
        <v>23.33114544581302</v>
      </c>
      <c r="L19" s="13">
        <f t="shared" si="10"/>
        <v>20.060381933166127</v>
      </c>
      <c r="M19" s="13">
        <f t="shared" si="11"/>
        <v>4.479061877392087</v>
      </c>
    </row>
    <row r="20" spans="1:13" ht="12.75">
      <c r="A20" s="2">
        <v>1996</v>
      </c>
      <c r="B20" s="6">
        <v>5920694306</v>
      </c>
      <c r="C20" s="14">
        <f t="shared" si="1"/>
        <v>0.0385240027535565</v>
      </c>
      <c r="D20" s="6">
        <v>2794847943</v>
      </c>
      <c r="E20" s="6">
        <v>2303531459</v>
      </c>
      <c r="F20" s="14">
        <f t="shared" si="2"/>
        <v>0.049981546330641446</v>
      </c>
      <c r="G20" s="6">
        <v>552264318</v>
      </c>
      <c r="H20" s="14">
        <f t="shared" si="3"/>
        <v>0.1274223447131071</v>
      </c>
      <c r="I20" s="12">
        <f t="shared" si="0"/>
        <v>11571338026.088507</v>
      </c>
      <c r="J20" s="13">
        <f t="shared" si="8"/>
        <v>51.166894378604454</v>
      </c>
      <c r="K20" s="13">
        <f t="shared" si="9"/>
        <v>24.153195911300767</v>
      </c>
      <c r="L20" s="13">
        <f t="shared" si="10"/>
        <v>19.907217763464384</v>
      </c>
      <c r="M20" s="13">
        <f t="shared" si="11"/>
        <v>4.772691945865517</v>
      </c>
    </row>
    <row r="21" spans="1:13" ht="12.75">
      <c r="A21" s="2">
        <v>1997</v>
      </c>
      <c r="B21" s="6">
        <v>6160184909</v>
      </c>
      <c r="C21" s="14">
        <f t="shared" si="1"/>
        <v>0.04044974974595483</v>
      </c>
      <c r="D21" s="6">
        <v>3060681746</v>
      </c>
      <c r="E21" s="6">
        <v>2108780330</v>
      </c>
      <c r="F21" s="14">
        <f t="shared" si="2"/>
        <v>-0.08454459271181158</v>
      </c>
      <c r="G21" s="6">
        <v>621990649</v>
      </c>
      <c r="H21" s="14">
        <f t="shared" si="3"/>
        <v>0.12625536129603798</v>
      </c>
      <c r="I21" s="12">
        <f t="shared" si="0"/>
        <v>11951637633.955906</v>
      </c>
      <c r="J21" s="13">
        <f t="shared" si="8"/>
        <v>51.542601086718385</v>
      </c>
      <c r="K21" s="13">
        <f t="shared" si="9"/>
        <v>25.608890093055276</v>
      </c>
      <c r="L21" s="13">
        <f t="shared" si="10"/>
        <v>17.644279341340848</v>
      </c>
      <c r="M21" s="13">
        <f t="shared" si="11"/>
        <v>5.204229479254431</v>
      </c>
    </row>
    <row r="22" spans="1:13" ht="12.75">
      <c r="A22" s="2">
        <v>1998</v>
      </c>
      <c r="B22" s="6">
        <v>6455892738</v>
      </c>
      <c r="C22" s="14">
        <f t="shared" si="1"/>
        <v>0.04800307675309745</v>
      </c>
      <c r="D22" s="6">
        <v>3356233207</v>
      </c>
      <c r="E22" s="6">
        <v>2195664977</v>
      </c>
      <c r="F22" s="14">
        <f t="shared" si="2"/>
        <v>0.041201373971465394</v>
      </c>
      <c r="G22" s="6">
        <v>614759620</v>
      </c>
      <c r="H22" s="14">
        <f t="shared" si="3"/>
        <v>-0.011625623329909573</v>
      </c>
      <c r="I22" s="12">
        <f t="shared" si="0"/>
        <v>12622550542.089205</v>
      </c>
      <c r="J22" s="13">
        <f t="shared" si="8"/>
        <v>51.145707172834676</v>
      </c>
      <c r="K22" s="13">
        <f t="shared" si="9"/>
        <v>26.58918414157918</v>
      </c>
      <c r="L22" s="13">
        <f t="shared" si="10"/>
        <v>17.39478063231892</v>
      </c>
      <c r="M22" s="13">
        <f t="shared" si="11"/>
        <v>4.870328052560516</v>
      </c>
    </row>
    <row r="23" spans="1:13" ht="12.75">
      <c r="A23" s="2">
        <v>1999</v>
      </c>
      <c r="B23" s="6">
        <v>6753085969</v>
      </c>
      <c r="C23" s="14">
        <f t="shared" si="1"/>
        <v>0.04603441275452003</v>
      </c>
      <c r="D23" s="6">
        <v>3675536175</v>
      </c>
      <c r="E23" s="6">
        <v>2357850779</v>
      </c>
      <c r="F23" s="14">
        <f t="shared" si="2"/>
        <v>0.07386637018804176</v>
      </c>
      <c r="G23" s="6">
        <v>670235801</v>
      </c>
      <c r="H23" s="14">
        <f t="shared" si="3"/>
        <v>0.09024044389903163</v>
      </c>
      <c r="I23" s="12">
        <f t="shared" si="0"/>
        <v>13456708724.119902</v>
      </c>
      <c r="J23" s="13">
        <f t="shared" si="8"/>
        <v>50.18378644769</v>
      </c>
      <c r="K23" s="13">
        <f t="shared" si="9"/>
        <v>27.31378266672253</v>
      </c>
      <c r="L23" s="13">
        <f t="shared" si="10"/>
        <v>17.52174939161588</v>
      </c>
      <c r="M23" s="13">
        <f t="shared" si="11"/>
        <v>4.980681493080582</v>
      </c>
    </row>
    <row r="24" spans="1:13" ht="12.75">
      <c r="A24" s="2">
        <v>2000</v>
      </c>
      <c r="B24" s="6">
        <v>7103557417</v>
      </c>
      <c r="C24" s="14">
        <f t="shared" si="1"/>
        <v>0.05189796925566137</v>
      </c>
      <c r="D24" s="6">
        <v>3967572079</v>
      </c>
      <c r="E24" s="6">
        <v>2489909255</v>
      </c>
      <c r="F24" s="14">
        <f t="shared" si="2"/>
        <v>0.056007987094080613</v>
      </c>
      <c r="G24" s="6">
        <v>721415920</v>
      </c>
      <c r="H24" s="14">
        <f t="shared" si="3"/>
        <v>0.07636136255872739</v>
      </c>
      <c r="I24" s="12">
        <f t="shared" si="0"/>
        <v>14282454671.107906</v>
      </c>
      <c r="J24" s="13">
        <f t="shared" si="8"/>
        <v>49.73625038957655</v>
      </c>
      <c r="K24" s="13">
        <f t="shared" si="9"/>
        <v>27.779343049665222</v>
      </c>
      <c r="L24" s="13">
        <f t="shared" si="10"/>
        <v>17.433342603473182</v>
      </c>
      <c r="M24" s="13">
        <f t="shared" si="11"/>
        <v>5.051063956529532</v>
      </c>
    </row>
    <row r="25" spans="1:13" ht="12.75">
      <c r="A25" s="2">
        <v>2001</v>
      </c>
      <c r="B25" s="6">
        <v>7520052344</v>
      </c>
      <c r="C25" s="14">
        <f t="shared" si="1"/>
        <v>0.05863188013420695</v>
      </c>
      <c r="D25" s="6">
        <v>4260744442</v>
      </c>
      <c r="E25" s="6">
        <v>2653442037</v>
      </c>
      <c r="F25" s="14">
        <f t="shared" si="2"/>
        <v>0.06567820962615767</v>
      </c>
      <c r="G25" s="6">
        <v>811839701</v>
      </c>
      <c r="H25" s="14">
        <f t="shared" si="3"/>
        <v>0.1253420925338049</v>
      </c>
      <c r="I25" s="12">
        <f t="shared" si="0"/>
        <v>15246078524.12431</v>
      </c>
      <c r="J25" s="13">
        <f t="shared" si="8"/>
        <v>49.32450224561551</v>
      </c>
      <c r="K25" s="13">
        <f t="shared" si="9"/>
        <v>27.946494144432627</v>
      </c>
      <c r="L25" s="13">
        <f t="shared" si="10"/>
        <v>17.404095307533556</v>
      </c>
      <c r="M25" s="13">
        <f t="shared" si="11"/>
        <v>5.32490830160295</v>
      </c>
    </row>
    <row r="26" spans="1:13" ht="12.75">
      <c r="A26" s="2">
        <v>2002</v>
      </c>
      <c r="B26" s="6">
        <v>8003918195</v>
      </c>
      <c r="C26" s="14">
        <f t="shared" si="1"/>
        <v>0.06434341529365284</v>
      </c>
      <c r="D26" s="6">
        <v>4545603734</v>
      </c>
      <c r="E26" s="6">
        <v>2750571761</v>
      </c>
      <c r="F26" s="14">
        <f t="shared" si="2"/>
        <v>0.03660518023216941</v>
      </c>
      <c r="G26" s="6">
        <v>899551714</v>
      </c>
      <c r="H26" s="14">
        <f t="shared" si="3"/>
        <v>0.10804104910360879</v>
      </c>
      <c r="I26" s="12">
        <f t="shared" si="0"/>
        <v>16199645404.100948</v>
      </c>
      <c r="J26" s="13">
        <f t="shared" si="8"/>
        <v>49.40798391163429</v>
      </c>
      <c r="K26" s="13">
        <f t="shared" si="9"/>
        <v>28.05989650149551</v>
      </c>
      <c r="L26" s="13">
        <f t="shared" si="10"/>
        <v>16.97920968260016</v>
      </c>
      <c r="M26" s="13">
        <f t="shared" si="11"/>
        <v>5.552909903646891</v>
      </c>
    </row>
    <row r="27" spans="1:13" ht="12.75">
      <c r="A27" s="2">
        <v>2003</v>
      </c>
      <c r="B27" s="6">
        <v>8483248012</v>
      </c>
      <c r="C27" s="14">
        <f t="shared" si="1"/>
        <v>0.05988689605791264</v>
      </c>
      <c r="D27" s="6">
        <v>4528304339</v>
      </c>
      <c r="E27" s="6">
        <v>2863839414</v>
      </c>
      <c r="F27" s="14">
        <f t="shared" si="2"/>
        <v>0.0411796756608962</v>
      </c>
      <c r="G27" s="6">
        <v>835797377</v>
      </c>
      <c r="H27" s="14">
        <f t="shared" si="3"/>
        <v>-0.07087345397465383</v>
      </c>
      <c r="I27" s="12">
        <f t="shared" si="0"/>
        <v>16711189142.101067</v>
      </c>
      <c r="J27" s="13">
        <f t="shared" si="8"/>
        <v>50.76388005583555</v>
      </c>
      <c r="K27" s="13">
        <f t="shared" si="9"/>
        <v>27.097439329387335</v>
      </c>
      <c r="L27" s="13">
        <f t="shared" si="10"/>
        <v>17.13725689804463</v>
      </c>
      <c r="M27" s="13">
        <f t="shared" si="11"/>
        <v>5.001423716127701</v>
      </c>
    </row>
    <row r="28" spans="1:13" ht="12.75">
      <c r="A28" s="2">
        <v>2004</v>
      </c>
      <c r="B28" s="6">
        <v>9016236058</v>
      </c>
      <c r="C28" s="14">
        <f t="shared" si="1"/>
        <v>0.06282829940207568</v>
      </c>
      <c r="D28" s="6">
        <v>4210955577</v>
      </c>
      <c r="E28" s="6">
        <v>3003160691</v>
      </c>
      <c r="F28" s="14">
        <f t="shared" si="2"/>
        <v>0.04864842501954625</v>
      </c>
      <c r="G28" s="6">
        <v>853947839</v>
      </c>
      <c r="H28" s="14">
        <f t="shared" si="3"/>
        <v>0.02171634238091169</v>
      </c>
      <c r="I28" s="12">
        <f t="shared" si="0"/>
        <v>17084300165.111477</v>
      </c>
      <c r="J28" s="13">
        <f t="shared" si="8"/>
        <v>52.774980367135036</v>
      </c>
      <c r="K28" s="13">
        <f t="shared" si="9"/>
        <v>24.648101100444013</v>
      </c>
      <c r="L28" s="13">
        <f t="shared" si="10"/>
        <v>17.57848236085709</v>
      </c>
      <c r="M28" s="13">
        <f t="shared" si="11"/>
        <v>4.9984361709113525</v>
      </c>
    </row>
    <row r="29" spans="1:13" ht="12.75">
      <c r="A29" s="2">
        <v>2005</v>
      </c>
      <c r="B29" s="6">
        <v>9483454968</v>
      </c>
      <c r="C29" s="14">
        <f t="shared" si="1"/>
        <v>0.05181972909698196</v>
      </c>
      <c r="D29" s="6">
        <v>4323729863</v>
      </c>
      <c r="E29" s="6">
        <v>3165515248.430001</v>
      </c>
      <c r="F29" s="14">
        <f t="shared" si="2"/>
        <v>0.05406122886349429</v>
      </c>
      <c r="G29" s="6">
        <v>838203429.1800005</v>
      </c>
      <c r="H29" s="14">
        <f t="shared" si="3"/>
        <v>-0.018437203188471862</v>
      </c>
      <c r="I29" s="12">
        <f t="shared" si="0"/>
        <v>17810903508.71588</v>
      </c>
      <c r="J29" s="13">
        <f t="shared" si="8"/>
        <v>53.24522118352508</v>
      </c>
      <c r="K29" s="13">
        <f t="shared" si="9"/>
        <v>24.27574693717337</v>
      </c>
      <c r="L29" s="13">
        <f t="shared" si="10"/>
        <v>17.77290661802157</v>
      </c>
      <c r="M29" s="13">
        <f t="shared" si="11"/>
        <v>4.706125260685513</v>
      </c>
    </row>
    <row r="30" spans="1:13" ht="12.75">
      <c r="A30" s="2">
        <v>2006</v>
      </c>
      <c r="B30" s="12">
        <v>9983136533</v>
      </c>
      <c r="C30" s="14">
        <f t="shared" si="1"/>
        <v>0.052689823137883174</v>
      </c>
      <c r="D30" s="12">
        <v>4553620081</v>
      </c>
      <c r="E30" s="12">
        <v>3416314348.8099985</v>
      </c>
      <c r="F30" s="14">
        <f t="shared" si="2"/>
        <v>0.07922852385702028</v>
      </c>
      <c r="G30" s="12">
        <v>873477940.6899996</v>
      </c>
      <c r="H30" s="14">
        <f t="shared" si="3"/>
        <v>0.04208347315461047</v>
      </c>
      <c r="I30" s="12">
        <f t="shared" si="0"/>
        <v>18826548903.631916</v>
      </c>
      <c r="J30" s="13">
        <f>B30/I30*100</f>
        <v>53.02690675864713</v>
      </c>
      <c r="K30" s="13">
        <f>D30/I30*100</f>
        <v>24.18722679503698</v>
      </c>
      <c r="L30" s="13">
        <f>E30/I30*100</f>
        <v>18.146259127454538</v>
      </c>
      <c r="M30" s="13">
        <f>G30/I30*100</f>
        <v>4.639607318160648</v>
      </c>
    </row>
    <row r="31" spans="1:13" ht="12.75">
      <c r="A31" s="2">
        <v>2007</v>
      </c>
      <c r="B31" s="12">
        <v>10488784344</v>
      </c>
      <c r="C31" s="14">
        <f t="shared" si="1"/>
        <v>0.05065019488900546</v>
      </c>
      <c r="D31" s="12">
        <v>4922116048</v>
      </c>
      <c r="E31" s="12">
        <v>3647034314</v>
      </c>
      <c r="F31" s="14">
        <f t="shared" si="2"/>
        <v>0.06753475869993286</v>
      </c>
      <c r="G31" s="12">
        <v>879668141</v>
      </c>
      <c r="H31" s="14">
        <f t="shared" si="3"/>
        <v>0.007086842176129204</v>
      </c>
      <c r="I31" s="12">
        <f t="shared" si="0"/>
        <v>19937602847.118187</v>
      </c>
      <c r="J31" s="13">
        <f>B31/I31*100</f>
        <v>52.608051351148596</v>
      </c>
      <c r="K31" s="13">
        <f>D31/I31*100</f>
        <v>24.68760204395109</v>
      </c>
      <c r="L31" s="13">
        <f>E31/I31*100</f>
        <v>18.292240757153753</v>
      </c>
      <c r="M31" s="13">
        <f>G31/I31*100</f>
        <v>4.41210584715378</v>
      </c>
    </row>
    <row r="32" spans="1:13" ht="12.75">
      <c r="A32" s="2">
        <v>2008</v>
      </c>
      <c r="B32" s="12">
        <v>10992118126</v>
      </c>
      <c r="C32" s="14">
        <f t="shared" si="1"/>
        <v>0.04798780921527168</v>
      </c>
      <c r="D32" s="12">
        <v>5122566105</v>
      </c>
      <c r="E32" s="12">
        <v>3880105412</v>
      </c>
      <c r="F32" s="14">
        <f t="shared" si="2"/>
        <v>0.0639070208649537</v>
      </c>
      <c r="G32" s="12">
        <v>917341109</v>
      </c>
      <c r="H32" s="14">
        <f t="shared" si="3"/>
        <v>0.04282634125770857</v>
      </c>
      <c r="I32" s="12">
        <f>SUM(B32:G32)</f>
        <v>20912130752.111897</v>
      </c>
      <c r="J32" s="13">
        <f>B32/I32*100</f>
        <v>52.563357872510984</v>
      </c>
      <c r="K32" s="13">
        <f>D32/I32*100</f>
        <v>24.495667924621582</v>
      </c>
      <c r="L32" s="13">
        <f>E32/I32*100</f>
        <v>18.55432838477328</v>
      </c>
      <c r="M32" s="13">
        <f>G32/I32*100</f>
        <v>4.386645817559067</v>
      </c>
    </row>
    <row r="33" spans="1:13" ht="12.75">
      <c r="A33" s="20">
        <v>2009</v>
      </c>
      <c r="B33" s="24">
        <v>11552794390</v>
      </c>
      <c r="C33" s="80">
        <f t="shared" si="1"/>
        <v>0.051007117788683054</v>
      </c>
      <c r="D33" s="24">
        <v>5325086757</v>
      </c>
      <c r="E33" s="24">
        <v>3994023081</v>
      </c>
      <c r="F33" s="80">
        <f t="shared" si="2"/>
        <v>0.029359426330966887</v>
      </c>
      <c r="G33" s="24">
        <v>976819532</v>
      </c>
      <c r="H33" s="80">
        <f t="shared" si="3"/>
        <v>0.06483784757541056</v>
      </c>
      <c r="I33" s="25">
        <f>SUM(B33:G33)</f>
        <v>21848723760.080364</v>
      </c>
      <c r="J33" s="83">
        <f>B33/I33*100</f>
        <v>52.87628932866103</v>
      </c>
      <c r="K33" s="83">
        <f>D33/I33*100</f>
        <v>24.372530018112204</v>
      </c>
      <c r="L33" s="83">
        <f>E33/I33*100</f>
        <v>18.28034957491407</v>
      </c>
      <c r="M33" s="83">
        <f>G33/I33*100</f>
        <v>4.470831077944879</v>
      </c>
    </row>
    <row r="34" spans="1:8" ht="12.75">
      <c r="A34" t="s">
        <v>27</v>
      </c>
      <c r="B34" s="16">
        <f>+B33*(1+C34)</f>
        <v>11853167044.14</v>
      </c>
      <c r="C34" s="81">
        <v>0.026</v>
      </c>
      <c r="E34" s="16">
        <f>+E33*(1+F34)</f>
        <v>4093873658.0249996</v>
      </c>
      <c r="F34" s="81">
        <v>0.025</v>
      </c>
      <c r="G34" s="16">
        <f>+G33*(1+H34)</f>
        <v>976819532</v>
      </c>
      <c r="H34" s="81">
        <v>0</v>
      </c>
    </row>
    <row r="35" spans="1:8" ht="12.75">
      <c r="A35" t="s">
        <v>28</v>
      </c>
      <c r="B35" s="16">
        <f>+B34*(1+C35)</f>
        <v>12161349387.28764</v>
      </c>
      <c r="C35" s="81">
        <v>0.026</v>
      </c>
      <c r="E35" s="16">
        <f>+E34*(1+F35)</f>
        <v>4196220499.475624</v>
      </c>
      <c r="F35" s="81">
        <v>0.025</v>
      </c>
      <c r="G35" s="16">
        <f>+G34*(1+H35)</f>
        <v>976819532</v>
      </c>
      <c r="H35" s="81">
        <v>0</v>
      </c>
    </row>
    <row r="36" spans="1:8" ht="12.75">
      <c r="A36" t="s">
        <v>25</v>
      </c>
      <c r="C36" s="82">
        <f>+B35/B32-1</f>
        <v>0.10636996872531967</v>
      </c>
      <c r="F36" s="82">
        <f>+E35/E32-1</f>
        <v>0.08147074728897197</v>
      </c>
      <c r="H36" s="82">
        <f>+G35/G32-1</f>
        <v>0.06483784757541056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H10" sqref="H10"/>
    </sheetView>
  </sheetViews>
  <sheetFormatPr defaultColWidth="9.140625" defaultRowHeight="12.75"/>
  <cols>
    <col min="1" max="1" width="17.140625" style="0" customWidth="1"/>
    <col min="2" max="2" width="14.8515625" style="0" customWidth="1"/>
    <col min="3" max="3" width="18.8515625" style="0" customWidth="1"/>
    <col min="4" max="4" width="18.57421875" style="0" customWidth="1"/>
    <col min="5" max="5" width="12.7109375" style="0" bestFit="1" customWidth="1"/>
    <col min="6" max="6" width="14.00390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2.75">
      <c r="A3" s="3" t="s">
        <v>2</v>
      </c>
      <c r="B3" s="2"/>
      <c r="C3" s="2"/>
      <c r="D3" s="2"/>
    </row>
    <row r="4" spans="1:4" ht="12.75">
      <c r="A4" s="3"/>
      <c r="B4" s="2"/>
      <c r="C4" s="2"/>
      <c r="D4" s="2"/>
    </row>
    <row r="5" spans="1:4" ht="12.75">
      <c r="A5" s="4" t="s">
        <v>3</v>
      </c>
      <c r="B5" s="2"/>
      <c r="C5" s="2"/>
      <c r="D5" s="2"/>
    </row>
    <row r="6" spans="1:4" ht="12.75">
      <c r="A6" s="3" t="s">
        <v>4</v>
      </c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5" t="s">
        <v>5</v>
      </c>
      <c r="B8" s="5" t="s">
        <v>6</v>
      </c>
      <c r="C8" s="5" t="s">
        <v>7</v>
      </c>
      <c r="D8" s="5" t="s">
        <v>8</v>
      </c>
    </row>
    <row r="9" spans="1:4" ht="12.75">
      <c r="A9" s="2"/>
      <c r="B9" s="2"/>
      <c r="C9" s="2"/>
      <c r="D9" s="2"/>
    </row>
    <row r="10" spans="1:4" ht="12.75">
      <c r="A10" s="2">
        <v>1981</v>
      </c>
      <c r="B10" s="6">
        <v>1138347383</v>
      </c>
      <c r="C10" s="6">
        <v>252334377</v>
      </c>
      <c r="D10" s="6">
        <f aca="true" t="shared" si="0" ref="D10:D39">B10-C10</f>
        <v>886013006</v>
      </c>
    </row>
    <row r="11" spans="1:4" ht="12.75">
      <c r="A11" s="2">
        <v>1982</v>
      </c>
      <c r="B11" s="6">
        <v>1381461844</v>
      </c>
      <c r="C11" s="6">
        <v>274881840</v>
      </c>
      <c r="D11" s="6">
        <f t="shared" si="0"/>
        <v>1106580004</v>
      </c>
    </row>
    <row r="12" spans="1:4" ht="12.75">
      <c r="A12" s="2">
        <v>1983</v>
      </c>
      <c r="B12" s="6">
        <v>1545422148</v>
      </c>
      <c r="C12" s="6">
        <v>262110327</v>
      </c>
      <c r="D12" s="6">
        <f t="shared" si="0"/>
        <v>1283311821</v>
      </c>
    </row>
    <row r="13" spans="1:4" ht="12.75">
      <c r="A13" s="2">
        <v>1984</v>
      </c>
      <c r="B13" s="6">
        <v>1666405318</v>
      </c>
      <c r="C13" s="6">
        <v>255709822</v>
      </c>
      <c r="D13" s="6">
        <f t="shared" si="0"/>
        <v>1410695496</v>
      </c>
    </row>
    <row r="14" spans="1:4" ht="12.75">
      <c r="A14" s="2">
        <v>1985</v>
      </c>
      <c r="B14" s="6">
        <v>1868130881</v>
      </c>
      <c r="C14" s="6">
        <v>265074125</v>
      </c>
      <c r="D14" s="6">
        <f t="shared" si="0"/>
        <v>1603056756</v>
      </c>
    </row>
    <row r="15" spans="1:4" ht="12.75">
      <c r="A15" s="2">
        <v>1986</v>
      </c>
      <c r="B15" s="6">
        <v>2029951823</v>
      </c>
      <c r="C15" s="6">
        <v>204599600</v>
      </c>
      <c r="D15" s="6">
        <f t="shared" si="0"/>
        <v>1825352223</v>
      </c>
    </row>
    <row r="16" spans="1:4" ht="12.75">
      <c r="A16" s="2">
        <v>1987</v>
      </c>
      <c r="B16" s="6">
        <v>2373749418</v>
      </c>
      <c r="C16" s="6">
        <v>204813364</v>
      </c>
      <c r="D16" s="6">
        <f t="shared" si="0"/>
        <v>2168936054</v>
      </c>
    </row>
    <row r="17" spans="1:4" ht="12.75">
      <c r="A17" s="2">
        <v>1988</v>
      </c>
      <c r="B17" s="6">
        <v>2576697434</v>
      </c>
      <c r="C17" s="6">
        <v>209269865</v>
      </c>
      <c r="D17" s="6">
        <f t="shared" si="0"/>
        <v>2367427569</v>
      </c>
    </row>
    <row r="18" spans="1:4" ht="12.75">
      <c r="A18" s="2">
        <v>1989</v>
      </c>
      <c r="B18" s="6">
        <v>2692968637</v>
      </c>
      <c r="C18" s="6">
        <v>158019163</v>
      </c>
      <c r="D18" s="6">
        <f t="shared" si="0"/>
        <v>2534949474</v>
      </c>
    </row>
    <row r="19" spans="1:4" ht="12.75">
      <c r="A19" s="2">
        <v>1990</v>
      </c>
      <c r="B19" s="6">
        <v>2457326863</v>
      </c>
      <c r="C19" s="6">
        <v>165905141</v>
      </c>
      <c r="D19" s="6">
        <f t="shared" si="0"/>
        <v>2291421722</v>
      </c>
    </row>
    <row r="20" spans="1:4" ht="12.75">
      <c r="A20" s="2">
        <v>1991</v>
      </c>
      <c r="B20" s="6">
        <v>2341313232</v>
      </c>
      <c r="C20" s="6">
        <v>177680471</v>
      </c>
      <c r="D20" s="6">
        <f t="shared" si="0"/>
        <v>2163632761</v>
      </c>
    </row>
    <row r="21" spans="1:4" ht="12.75">
      <c r="A21" s="2">
        <v>1992</v>
      </c>
      <c r="B21" s="6">
        <v>2057096860</v>
      </c>
      <c r="C21" s="6">
        <v>183125842</v>
      </c>
      <c r="D21" s="6">
        <f t="shared" si="0"/>
        <v>1873971018</v>
      </c>
    </row>
    <row r="22" spans="1:4" ht="12.75">
      <c r="A22" s="2">
        <v>1993</v>
      </c>
      <c r="B22" s="6">
        <v>2192530849</v>
      </c>
      <c r="C22" s="6">
        <v>188463783</v>
      </c>
      <c r="D22" s="6">
        <f t="shared" si="0"/>
        <v>2004067066</v>
      </c>
    </row>
    <row r="23" spans="1:4" ht="12.75">
      <c r="A23" s="2">
        <v>1994</v>
      </c>
      <c r="B23" s="6">
        <v>2349182790</v>
      </c>
      <c r="C23" s="6">
        <v>191949485</v>
      </c>
      <c r="D23" s="6">
        <f t="shared" si="0"/>
        <v>2157233305</v>
      </c>
    </row>
    <row r="24" spans="1:4" ht="12.75">
      <c r="A24" s="2">
        <v>1995</v>
      </c>
      <c r="B24" s="6">
        <v>2550609971</v>
      </c>
      <c r="C24" s="6">
        <v>196140454</v>
      </c>
      <c r="D24" s="6">
        <f t="shared" si="0"/>
        <v>2354469517</v>
      </c>
    </row>
    <row r="25" spans="1:4" ht="12.75">
      <c r="A25" s="2">
        <v>1996</v>
      </c>
      <c r="B25" s="6">
        <v>2793297553</v>
      </c>
      <c r="C25" s="6">
        <v>200890171</v>
      </c>
      <c r="D25" s="6">
        <f t="shared" si="0"/>
        <v>2592407382</v>
      </c>
    </row>
    <row r="26" spans="1:4" ht="12.75">
      <c r="A26" s="2">
        <v>1997</v>
      </c>
      <c r="B26" s="6">
        <v>3058604604</v>
      </c>
      <c r="C26" s="6">
        <v>204195165</v>
      </c>
      <c r="D26" s="6">
        <f t="shared" si="0"/>
        <v>2854409439</v>
      </c>
    </row>
    <row r="27" spans="1:4" ht="12.75">
      <c r="A27" s="2">
        <v>1998</v>
      </c>
      <c r="B27" s="6">
        <v>3353088201</v>
      </c>
      <c r="C27" s="6">
        <v>208821552</v>
      </c>
      <c r="D27" s="6">
        <f t="shared" si="0"/>
        <v>3144266649</v>
      </c>
    </row>
    <row r="28" spans="1:4" ht="12.75">
      <c r="A28" s="2">
        <v>1999</v>
      </c>
      <c r="B28" s="6">
        <v>3673491516</v>
      </c>
      <c r="C28" s="6">
        <v>211357019</v>
      </c>
      <c r="D28" s="6">
        <f t="shared" si="0"/>
        <v>3462134497</v>
      </c>
    </row>
    <row r="29" spans="1:4" ht="12.75">
      <c r="A29" s="2">
        <v>2000</v>
      </c>
      <c r="B29" s="6">
        <v>3983969012</v>
      </c>
      <c r="C29" s="6">
        <v>216217247</v>
      </c>
      <c r="D29" s="6">
        <f t="shared" si="0"/>
        <v>3767751765</v>
      </c>
    </row>
    <row r="30" spans="1:4" ht="12.75">
      <c r="A30" s="2">
        <v>2001</v>
      </c>
      <c r="B30" s="6">
        <v>4262400853</v>
      </c>
      <c r="C30" s="6">
        <v>217520658</v>
      </c>
      <c r="D30" s="6">
        <f t="shared" si="0"/>
        <v>4044880195</v>
      </c>
    </row>
    <row r="31" spans="1:4" ht="12.75">
      <c r="A31" s="2">
        <v>2002</v>
      </c>
      <c r="B31" s="6">
        <v>4506195701</v>
      </c>
      <c r="C31" s="6">
        <v>219214469</v>
      </c>
      <c r="D31" s="6">
        <f t="shared" si="0"/>
        <v>4286981232</v>
      </c>
    </row>
    <row r="32" spans="1:4" ht="12.75">
      <c r="A32" s="2">
        <v>2003</v>
      </c>
      <c r="B32" s="6">
        <v>4518130609</v>
      </c>
      <c r="C32" s="6">
        <v>225407672</v>
      </c>
      <c r="D32" s="6">
        <f t="shared" si="0"/>
        <v>4292722937</v>
      </c>
    </row>
    <row r="33" spans="1:4" ht="12.75">
      <c r="A33" s="2">
        <v>2004</v>
      </c>
      <c r="B33" s="6">
        <v>4211742200</v>
      </c>
      <c r="C33" s="6">
        <v>404613432</v>
      </c>
      <c r="D33" s="6">
        <f t="shared" si="0"/>
        <v>3807128768</v>
      </c>
    </row>
    <row r="34" spans="1:4" ht="12.75">
      <c r="A34" s="2">
        <v>2005</v>
      </c>
      <c r="B34" s="6">
        <v>4323972071</v>
      </c>
      <c r="C34" s="6">
        <v>441763128</v>
      </c>
      <c r="D34" s="6">
        <f t="shared" si="0"/>
        <v>3882208943</v>
      </c>
    </row>
    <row r="35" spans="1:4" ht="12.75">
      <c r="A35" s="2">
        <v>2006</v>
      </c>
      <c r="B35" s="6">
        <v>4206244153</v>
      </c>
      <c r="C35" s="6">
        <v>480295327</v>
      </c>
      <c r="D35" s="6">
        <f t="shared" si="0"/>
        <v>3725948826</v>
      </c>
    </row>
    <row r="36" spans="1:4" ht="12.75">
      <c r="A36" s="2">
        <v>2007</v>
      </c>
      <c r="B36" s="6">
        <v>4554873861</v>
      </c>
      <c r="C36" s="6">
        <v>529916801</v>
      </c>
      <c r="D36" s="6">
        <f t="shared" si="0"/>
        <v>4024957060</v>
      </c>
    </row>
    <row r="37" spans="1:4" ht="12.75">
      <c r="A37" s="2">
        <v>2008</v>
      </c>
      <c r="B37" s="6">
        <v>4782354226</v>
      </c>
      <c r="C37" s="6">
        <v>568370796</v>
      </c>
      <c r="D37" s="6">
        <f t="shared" si="0"/>
        <v>4213983430</v>
      </c>
    </row>
    <row r="38" spans="1:4" ht="12.75">
      <c r="A38" s="2">
        <v>2009</v>
      </c>
      <c r="B38" s="6">
        <v>5002893866</v>
      </c>
      <c r="C38" s="6">
        <v>599365631</v>
      </c>
      <c r="D38" s="6">
        <f t="shared" si="0"/>
        <v>4403528235</v>
      </c>
    </row>
    <row r="39" spans="1:5" ht="12.75">
      <c r="A39" s="20">
        <v>2010</v>
      </c>
      <c r="B39" s="21">
        <v>4519395175</v>
      </c>
      <c r="C39" s="21">
        <v>611108162</v>
      </c>
      <c r="D39" s="21">
        <f t="shared" si="0"/>
        <v>3908287013</v>
      </c>
      <c r="E39" s="7"/>
    </row>
    <row r="40" spans="1:5" ht="12.75">
      <c r="A40" s="23" t="s">
        <v>118</v>
      </c>
      <c r="B40" s="22"/>
      <c r="C40" s="22"/>
      <c r="D40" s="22"/>
      <c r="E40" s="7"/>
    </row>
    <row r="41" spans="1:4" ht="12.75">
      <c r="A41" s="2">
        <v>2011</v>
      </c>
      <c r="B41" s="6">
        <v>4492633859</v>
      </c>
      <c r="C41" s="6">
        <v>632299553</v>
      </c>
      <c r="D41" s="7">
        <f>+B41-C41</f>
        <v>3860334306</v>
      </c>
    </row>
    <row r="42" spans="1:4" ht="12.75">
      <c r="A42" s="2" t="s">
        <v>25</v>
      </c>
      <c r="B42" s="19">
        <f>+B41/B37-1</f>
        <v>-0.0605811182753655</v>
      </c>
      <c r="C42" s="19">
        <f>+C41/C37-1</f>
        <v>0.11247720229453861</v>
      </c>
      <c r="D42" s="19">
        <f>+D41/D37-1</f>
        <v>-0.08392276093976003</v>
      </c>
    </row>
    <row r="43" spans="1:4" ht="12.75">
      <c r="A43" t="s">
        <v>24</v>
      </c>
      <c r="B43" s="82">
        <f>(B41+$E$51)/B37-1</f>
        <v>-0.04732071597073706</v>
      </c>
      <c r="C43" s="14"/>
      <c r="D43" s="14">
        <f>(D41+$E$51)/D37-1</f>
        <v>-0.06887383109619871</v>
      </c>
    </row>
    <row r="44" spans="2:4" ht="12.75">
      <c r="B44" s="14"/>
      <c r="C44" s="14"/>
      <c r="D44" s="14"/>
    </row>
    <row r="45" spans="2:4" ht="12.75">
      <c r="B45" s="14"/>
      <c r="C45" s="14"/>
      <c r="D45" s="14"/>
    </row>
    <row r="46" ht="12.75">
      <c r="B46" t="s">
        <v>20</v>
      </c>
    </row>
    <row r="47" spans="2:6" ht="12.75">
      <c r="B47" t="s">
        <v>17</v>
      </c>
      <c r="C47" t="s">
        <v>22</v>
      </c>
      <c r="D47" t="s">
        <v>18</v>
      </c>
      <c r="E47" t="s">
        <v>19</v>
      </c>
      <c r="F47" t="s">
        <v>60</v>
      </c>
    </row>
    <row r="48" spans="1:6" ht="12.75">
      <c r="A48">
        <v>2008</v>
      </c>
      <c r="B48" s="16">
        <f>3725671328-608383587</f>
        <v>3117287741</v>
      </c>
      <c r="C48" s="16">
        <v>935028283</v>
      </c>
      <c r="D48" s="16">
        <v>378517988</v>
      </c>
      <c r="E48" s="16"/>
      <c r="F48" s="17">
        <f>SUM(B48:E48)</f>
        <v>4430834012</v>
      </c>
    </row>
    <row r="49" spans="1:6" ht="12.75">
      <c r="A49">
        <v>2009</v>
      </c>
      <c r="B49" s="16">
        <f>3948824061-640333651</f>
        <v>3308490410</v>
      </c>
      <c r="C49" s="16">
        <v>935028283</v>
      </c>
      <c r="D49" s="16">
        <v>378517988</v>
      </c>
      <c r="E49" s="16"/>
      <c r="F49" s="17">
        <f>SUM(B49:E49)</f>
        <v>4622036681</v>
      </c>
    </row>
    <row r="50" spans="1:6" ht="12.75">
      <c r="A50">
        <v>2010</v>
      </c>
      <c r="B50" s="16">
        <v>3242320608</v>
      </c>
      <c r="C50" s="16">
        <v>936376140</v>
      </c>
      <c r="D50" s="17" t="s">
        <v>23</v>
      </c>
      <c r="E50" s="16">
        <v>155032690</v>
      </c>
      <c r="F50" s="17">
        <f>SUM(B50:E50)</f>
        <v>4333729438</v>
      </c>
    </row>
    <row r="51" spans="1:7" ht="12.75">
      <c r="A51">
        <v>2011</v>
      </c>
      <c r="B51" s="16">
        <v>3245173187</v>
      </c>
      <c r="C51" s="16">
        <v>898980293</v>
      </c>
      <c r="D51" s="16"/>
      <c r="E51" s="16">
        <v>63415941</v>
      </c>
      <c r="F51" s="17">
        <f>SUM(B51:E51)</f>
        <v>4207569421</v>
      </c>
      <c r="G51" s="18"/>
    </row>
    <row r="52" spans="1:6" ht="12.75">
      <c r="A52" t="s">
        <v>24</v>
      </c>
      <c r="B52" s="16"/>
      <c r="C52" s="16"/>
      <c r="D52" s="16"/>
      <c r="E52" s="16"/>
      <c r="F52" s="88">
        <f>+F51/F48-1</f>
        <v>-0.05038884110651265</v>
      </c>
    </row>
    <row r="53" ht="12.75">
      <c r="B53" t="s">
        <v>21</v>
      </c>
    </row>
    <row r="55" ht="12.75">
      <c r="B55" t="s">
        <v>115</v>
      </c>
    </row>
    <row r="56" ht="12.75">
      <c r="B56" t="s">
        <v>116</v>
      </c>
    </row>
    <row r="57" ht="12.75">
      <c r="B57" t="s">
        <v>117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5536"/>
  <sheetViews>
    <sheetView workbookViewId="0" topLeftCell="L1">
      <selection activeCell="M18" sqref="M18"/>
    </sheetView>
  </sheetViews>
  <sheetFormatPr defaultColWidth="9.140625" defaultRowHeight="12.75"/>
  <cols>
    <col min="4" max="4" width="15.00390625" style="8" bestFit="1" customWidth="1"/>
    <col min="5" max="5" width="16.57421875" style="8" bestFit="1" customWidth="1"/>
    <col min="6" max="7" width="15.00390625" style="8" bestFit="1" customWidth="1"/>
    <col min="8" max="9" width="16.57421875" style="8" bestFit="1" customWidth="1"/>
    <col min="10" max="11" width="15.00390625" style="8" bestFit="1" customWidth="1"/>
    <col min="12" max="13" width="16.57421875" style="8" bestFit="1" customWidth="1"/>
    <col min="14" max="14" width="15.00390625" style="8" bestFit="1" customWidth="1"/>
    <col min="15" max="15" width="14.00390625" style="8" bestFit="1" customWidth="1"/>
    <col min="16" max="16" width="17.7109375" style="8" bestFit="1" customWidth="1"/>
    <col min="17" max="17" width="13.8515625" style="0" bestFit="1" customWidth="1"/>
    <col min="18" max="18" width="12.7109375" style="0" customWidth="1"/>
    <col min="19" max="19" width="11.57421875" style="0" customWidth="1"/>
  </cols>
  <sheetData>
    <row r="2" ht="12.75">
      <c r="A2" t="s">
        <v>119</v>
      </c>
    </row>
    <row r="7" spans="1:19" ht="38.25">
      <c r="A7" s="30" t="s">
        <v>30</v>
      </c>
      <c r="B7" s="30" t="s">
        <v>31</v>
      </c>
      <c r="C7" s="30" t="s">
        <v>5</v>
      </c>
      <c r="D7" s="31" t="s">
        <v>32</v>
      </c>
      <c r="E7" s="31" t="s">
        <v>33</v>
      </c>
      <c r="F7" s="31" t="s">
        <v>34</v>
      </c>
      <c r="G7" s="31" t="s">
        <v>35</v>
      </c>
      <c r="H7" s="31" t="s">
        <v>36</v>
      </c>
      <c r="I7" s="31" t="s">
        <v>37</v>
      </c>
      <c r="J7" s="31" t="s">
        <v>38</v>
      </c>
      <c r="K7" s="31" t="s">
        <v>39</v>
      </c>
      <c r="L7" s="32" t="s">
        <v>40</v>
      </c>
      <c r="M7" s="32" t="s">
        <v>41</v>
      </c>
      <c r="N7" s="32" t="s">
        <v>42</v>
      </c>
      <c r="O7" s="32" t="s">
        <v>43</v>
      </c>
      <c r="P7" s="32" t="s">
        <v>44</v>
      </c>
      <c r="Q7" s="30" t="s">
        <v>73</v>
      </c>
      <c r="R7" s="30" t="s">
        <v>45</v>
      </c>
      <c r="S7" s="30" t="s">
        <v>46</v>
      </c>
    </row>
    <row r="8" spans="1:19" ht="12.75">
      <c r="A8" s="26" t="s">
        <v>29</v>
      </c>
      <c r="B8" s="26"/>
      <c r="C8" s="26">
        <v>2000</v>
      </c>
      <c r="D8" s="33">
        <v>618006690</v>
      </c>
      <c r="E8" s="33">
        <v>962392976</v>
      </c>
      <c r="F8" s="33">
        <v>724011117</v>
      </c>
      <c r="G8" s="33">
        <v>173810090</v>
      </c>
      <c r="H8" s="33">
        <v>5852557097</v>
      </c>
      <c r="I8" s="33">
        <v>849212940</v>
      </c>
      <c r="J8" s="33">
        <v>204215954</v>
      </c>
      <c r="K8" s="33">
        <v>294393297</v>
      </c>
      <c r="L8" s="33">
        <v>819181584</v>
      </c>
      <c r="M8" s="33">
        <v>1336861696</v>
      </c>
      <c r="N8" s="33">
        <v>332775214</v>
      </c>
      <c r="O8" s="33">
        <v>49360683</v>
      </c>
      <c r="P8" s="33">
        <f>SUM(D8:O8)</f>
        <v>12216779338</v>
      </c>
      <c r="Q8" s="38">
        <f aca="true" t="shared" si="0" ref="Q8:Q16">+P8-M8-L8</f>
        <v>10060736058</v>
      </c>
      <c r="R8" s="28">
        <v>327057464</v>
      </c>
      <c r="S8" s="28">
        <v>30149699</v>
      </c>
    </row>
    <row r="9" spans="1:19" ht="12.75">
      <c r="A9" s="26"/>
      <c r="B9" s="26"/>
      <c r="C9" s="26">
        <v>2001</v>
      </c>
      <c r="D9" s="33">
        <v>680562838</v>
      </c>
      <c r="E9" s="33">
        <v>1035834659</v>
      </c>
      <c r="F9" s="33">
        <v>754866432</v>
      </c>
      <c r="G9" s="33">
        <v>183926497</v>
      </c>
      <c r="H9" s="33">
        <v>6351796621</v>
      </c>
      <c r="I9" s="33">
        <v>983043726</v>
      </c>
      <c r="J9" s="33">
        <v>220188400</v>
      </c>
      <c r="K9" s="33">
        <v>320773085</v>
      </c>
      <c r="L9" s="33">
        <v>937504587</v>
      </c>
      <c r="M9" s="33">
        <v>1471984124</v>
      </c>
      <c r="N9" s="33">
        <v>342908434</v>
      </c>
      <c r="O9" s="33">
        <v>27623784</v>
      </c>
      <c r="P9" s="33">
        <f aca="true" t="shared" si="1" ref="P9:P16">SUM(D9:O9)</f>
        <v>13311013187</v>
      </c>
      <c r="Q9" s="38">
        <f t="shared" si="0"/>
        <v>10901524476</v>
      </c>
      <c r="R9" s="28">
        <v>379970472</v>
      </c>
      <c r="S9" s="28">
        <v>30546505</v>
      </c>
    </row>
    <row r="10" spans="1:19" ht="12.75">
      <c r="A10" s="26"/>
      <c r="B10" s="26"/>
      <c r="C10" s="26">
        <v>2002</v>
      </c>
      <c r="D10" s="33">
        <v>723643510</v>
      </c>
      <c r="E10" s="33">
        <v>1083642775</v>
      </c>
      <c r="F10" s="33">
        <v>819411468</v>
      </c>
      <c r="G10" s="33">
        <v>185830256</v>
      </c>
      <c r="H10" s="33">
        <v>6752364036</v>
      </c>
      <c r="I10" s="33">
        <v>921632375</v>
      </c>
      <c r="J10" s="33">
        <v>231186376</v>
      </c>
      <c r="K10" s="33">
        <v>338733171</v>
      </c>
      <c r="L10" s="33">
        <v>1057831977</v>
      </c>
      <c r="M10" s="33">
        <v>1610747693</v>
      </c>
      <c r="N10" s="33">
        <v>345959921</v>
      </c>
      <c r="O10" s="33">
        <v>39147799</v>
      </c>
      <c r="P10" s="33">
        <f t="shared" si="1"/>
        <v>14110131357</v>
      </c>
      <c r="Q10" s="38">
        <f t="shared" si="0"/>
        <v>11441551687</v>
      </c>
      <c r="R10" s="28">
        <v>347242578</v>
      </c>
      <c r="S10" s="28">
        <v>28522433</v>
      </c>
    </row>
    <row r="11" spans="1:19" ht="12.75">
      <c r="A11" s="26"/>
      <c r="B11" s="26"/>
      <c r="C11" s="26">
        <v>2003</v>
      </c>
      <c r="D11" s="33">
        <v>714596154</v>
      </c>
      <c r="E11" s="33">
        <v>1095668374</v>
      </c>
      <c r="F11" s="33">
        <v>832274855</v>
      </c>
      <c r="G11" s="33">
        <v>181643294</v>
      </c>
      <c r="H11" s="33">
        <v>7019205874</v>
      </c>
      <c r="I11" s="33">
        <v>980388199</v>
      </c>
      <c r="J11" s="33">
        <v>248906870</v>
      </c>
      <c r="K11" s="33">
        <v>318183120</v>
      </c>
      <c r="L11" s="33">
        <v>1094075295</v>
      </c>
      <c r="M11" s="33">
        <v>1834069456</v>
      </c>
      <c r="N11" s="33">
        <v>346016584</v>
      </c>
      <c r="O11" s="33">
        <v>42219491</v>
      </c>
      <c r="P11" s="33">
        <f t="shared" si="1"/>
        <v>14707247566</v>
      </c>
      <c r="Q11" s="38">
        <f t="shared" si="0"/>
        <v>11779102815</v>
      </c>
      <c r="R11" s="28">
        <v>295345384</v>
      </c>
      <c r="S11" s="28">
        <v>20150284</v>
      </c>
    </row>
    <row r="12" spans="1:19" ht="12.75">
      <c r="A12" s="26"/>
      <c r="B12" s="26"/>
      <c r="C12" s="26">
        <v>2004</v>
      </c>
      <c r="D12" s="33">
        <v>751815010</v>
      </c>
      <c r="E12" s="33">
        <v>1089706273</v>
      </c>
      <c r="F12" s="33">
        <v>814806534</v>
      </c>
      <c r="G12" s="33">
        <v>178727774</v>
      </c>
      <c r="H12" s="33">
        <v>7084521436</v>
      </c>
      <c r="I12" s="33">
        <v>968460307</v>
      </c>
      <c r="J12" s="33">
        <v>232400933</v>
      </c>
      <c r="K12" s="33">
        <v>307256904</v>
      </c>
      <c r="L12" s="33">
        <v>1188626592</v>
      </c>
      <c r="M12" s="33">
        <v>1981674710</v>
      </c>
      <c r="N12" s="33">
        <v>386716142</v>
      </c>
      <c r="O12" s="33">
        <v>42325919</v>
      </c>
      <c r="P12" s="33">
        <f t="shared" si="1"/>
        <v>15027038534</v>
      </c>
      <c r="Q12" s="38">
        <f t="shared" si="0"/>
        <v>11856737232</v>
      </c>
      <c r="R12" s="28">
        <v>296299634</v>
      </c>
      <c r="S12" s="28">
        <v>53953974</v>
      </c>
    </row>
    <row r="13" spans="1:19" ht="12.75">
      <c r="A13" s="26"/>
      <c r="B13" s="26"/>
      <c r="C13" s="26">
        <v>2005</v>
      </c>
      <c r="D13" s="33">
        <v>743299883</v>
      </c>
      <c r="E13" s="33">
        <v>1166332602</v>
      </c>
      <c r="F13" s="33">
        <v>861125937</v>
      </c>
      <c r="G13" s="33">
        <v>189787592</v>
      </c>
      <c r="H13" s="33">
        <v>7278910402</v>
      </c>
      <c r="I13" s="33">
        <v>1033365607</v>
      </c>
      <c r="J13" s="33">
        <v>243418842</v>
      </c>
      <c r="K13" s="33">
        <v>319832524</v>
      </c>
      <c r="L13" s="33">
        <v>1181527257</v>
      </c>
      <c r="M13" s="33">
        <v>2134112643</v>
      </c>
      <c r="N13" s="33">
        <v>471098886</v>
      </c>
      <c r="O13" s="33">
        <v>49123127</v>
      </c>
      <c r="P13" s="33">
        <f t="shared" si="1"/>
        <v>15671935302</v>
      </c>
      <c r="Q13" s="38">
        <f t="shared" si="0"/>
        <v>12356295402</v>
      </c>
      <c r="R13" s="28">
        <v>326811624</v>
      </c>
      <c r="S13" s="28">
        <v>65507644</v>
      </c>
    </row>
    <row r="14" spans="1:19" ht="12.75">
      <c r="A14" s="29"/>
      <c r="B14" s="29"/>
      <c r="C14" s="26">
        <v>2006</v>
      </c>
      <c r="D14" s="33">
        <v>788218539</v>
      </c>
      <c r="E14" s="33">
        <v>1204344203</v>
      </c>
      <c r="F14" s="33">
        <v>893852348</v>
      </c>
      <c r="G14" s="33">
        <v>200302155</v>
      </c>
      <c r="H14" s="33">
        <v>7705063742</v>
      </c>
      <c r="I14" s="33">
        <v>997643880</v>
      </c>
      <c r="J14" s="33">
        <v>254077168</v>
      </c>
      <c r="K14" s="33">
        <v>333496033</v>
      </c>
      <c r="L14" s="33">
        <v>1213186873</v>
      </c>
      <c r="M14" s="33">
        <v>2362232480</v>
      </c>
      <c r="N14" s="33">
        <v>449009934</v>
      </c>
      <c r="O14" s="33">
        <v>48843955</v>
      </c>
      <c r="P14" s="33">
        <f t="shared" si="1"/>
        <v>16450271310</v>
      </c>
      <c r="Q14" s="38">
        <f t="shared" si="0"/>
        <v>12874851957</v>
      </c>
      <c r="R14" s="28">
        <v>402114902</v>
      </c>
      <c r="S14" s="28">
        <v>109585465</v>
      </c>
    </row>
    <row r="15" spans="1:19" ht="12.75">
      <c r="A15" s="29"/>
      <c r="B15" s="29"/>
      <c r="C15" s="26">
        <v>2007</v>
      </c>
      <c r="D15" s="33">
        <v>829183091</v>
      </c>
      <c r="E15" s="33">
        <v>1274470793</v>
      </c>
      <c r="F15" s="33">
        <v>927055530</v>
      </c>
      <c r="G15" s="33">
        <v>206542444</v>
      </c>
      <c r="H15" s="33">
        <v>8012883354</v>
      </c>
      <c r="I15" s="33">
        <v>996196367</v>
      </c>
      <c r="J15" s="33">
        <v>264769870</v>
      </c>
      <c r="K15" s="33">
        <v>346598640</v>
      </c>
      <c r="L15" s="33">
        <v>1217657645</v>
      </c>
      <c r="M15" s="33">
        <v>1860502009</v>
      </c>
      <c r="N15" s="33">
        <v>500550282</v>
      </c>
      <c r="O15" s="33">
        <v>36068064</v>
      </c>
      <c r="P15" s="33">
        <f t="shared" si="1"/>
        <v>16472478089</v>
      </c>
      <c r="Q15" s="38">
        <f t="shared" si="0"/>
        <v>13394318435</v>
      </c>
      <c r="R15" s="28">
        <v>458627595</v>
      </c>
      <c r="S15" s="28">
        <v>706586518</v>
      </c>
    </row>
    <row r="16" spans="1:19" ht="12.75">
      <c r="A16" s="29" t="s">
        <v>61</v>
      </c>
      <c r="B16" s="29"/>
      <c r="C16" s="26">
        <v>2008</v>
      </c>
      <c r="D16" s="33">
        <v>887481404</v>
      </c>
      <c r="E16" s="33">
        <v>1334653817</v>
      </c>
      <c r="F16" s="33">
        <v>965833098</v>
      </c>
      <c r="G16" s="33">
        <v>223868422</v>
      </c>
      <c r="H16" s="33">
        <v>8398383425</v>
      </c>
      <c r="I16" s="33">
        <v>1076263462</v>
      </c>
      <c r="J16" s="33">
        <v>280827834</v>
      </c>
      <c r="K16" s="33">
        <v>359678375</v>
      </c>
      <c r="L16" s="33">
        <v>1270309414</v>
      </c>
      <c r="M16" s="33">
        <v>1968927057</v>
      </c>
      <c r="N16" s="33">
        <v>531600320</v>
      </c>
      <c r="O16" s="33">
        <v>34367550</v>
      </c>
      <c r="P16" s="33">
        <f t="shared" si="1"/>
        <v>17332194178</v>
      </c>
      <c r="Q16" s="38">
        <f t="shared" si="0"/>
        <v>14092957707</v>
      </c>
      <c r="R16" s="28">
        <v>798987949</v>
      </c>
      <c r="S16" s="28">
        <v>455554116</v>
      </c>
    </row>
    <row r="17" spans="2:20" ht="12.75">
      <c r="B17" s="2" t="s">
        <v>54</v>
      </c>
      <c r="C17" s="2"/>
      <c r="D17" s="19">
        <f>+D16/$P$16</f>
        <v>0.05120421539740726</v>
      </c>
      <c r="E17" s="19">
        <f aca="true" t="shared" si="2" ref="E17:Q17">+E16/$P$16</f>
        <v>0.07700431943545238</v>
      </c>
      <c r="F17" s="19">
        <f t="shared" si="2"/>
        <v>0.055724802531115517</v>
      </c>
      <c r="G17" s="19">
        <f t="shared" si="2"/>
        <v>0.012916334752593493</v>
      </c>
      <c r="H17" s="19">
        <f t="shared" si="2"/>
        <v>0.4845539658019864</v>
      </c>
      <c r="I17" s="19">
        <f t="shared" si="2"/>
        <v>0.062096203801254225</v>
      </c>
      <c r="J17" s="19">
        <f t="shared" si="2"/>
        <v>0.01620267065530911</v>
      </c>
      <c r="K17" s="19">
        <f t="shared" si="2"/>
        <v>0.020752039315169044</v>
      </c>
      <c r="L17" s="89">
        <f t="shared" si="2"/>
        <v>0.07329189835712906</v>
      </c>
      <c r="M17" s="89">
        <f t="shared" si="2"/>
        <v>0.11359941140627117</v>
      </c>
      <c r="N17" s="19">
        <f t="shared" si="2"/>
        <v>0.03067126496163814</v>
      </c>
      <c r="O17" s="19">
        <f t="shared" si="2"/>
        <v>0.001982873584674191</v>
      </c>
      <c r="P17" s="19">
        <f t="shared" si="2"/>
        <v>1</v>
      </c>
      <c r="Q17" s="19">
        <f t="shared" si="2"/>
        <v>0.8131086902365998</v>
      </c>
      <c r="R17" s="34"/>
      <c r="S17" s="34"/>
      <c r="T17" s="34"/>
    </row>
    <row r="18" spans="1:19" ht="12.75">
      <c r="A18" t="s">
        <v>48</v>
      </c>
      <c r="B18" t="s">
        <v>47</v>
      </c>
      <c r="D18" s="19">
        <f>+(D16/D8)^(0.125)-1</f>
        <v>0.04627478892180825</v>
      </c>
      <c r="E18" s="19">
        <f>+(E16/E8)^(0.125)-1</f>
        <v>0.04172244963459937</v>
      </c>
      <c r="F18" s="19">
        <f aca="true" t="shared" si="3" ref="F18:P18">+(F16/F8)^(0.125)-1</f>
        <v>0.03667972816102694</v>
      </c>
      <c r="G18" s="19">
        <f t="shared" si="3"/>
        <v>0.03214266768709151</v>
      </c>
      <c r="H18" s="19">
        <f t="shared" si="3"/>
        <v>0.04617961838536977</v>
      </c>
      <c r="I18" s="19">
        <f t="shared" si="3"/>
        <v>0.030060537247120322</v>
      </c>
      <c r="J18" s="19">
        <f t="shared" si="3"/>
        <v>0.04062393410316245</v>
      </c>
      <c r="K18" s="19">
        <f t="shared" si="3"/>
        <v>0.025352751702163445</v>
      </c>
      <c r="L18" s="89">
        <f t="shared" si="3"/>
        <v>0.056370262462672516</v>
      </c>
      <c r="M18" s="89">
        <f t="shared" si="3"/>
        <v>0.04958567179328455</v>
      </c>
      <c r="N18" s="19">
        <f t="shared" si="3"/>
        <v>0.06030127291587273</v>
      </c>
      <c r="O18" s="19">
        <f t="shared" si="3"/>
        <v>-0.04424643506332915</v>
      </c>
      <c r="P18" s="19">
        <f t="shared" si="3"/>
        <v>0.04468919289364215</v>
      </c>
      <c r="Q18" s="19">
        <f>+(Q16/Q8)^(0.125)-1</f>
        <v>0.04302939766499869</v>
      </c>
      <c r="R18" s="19">
        <f>+(R16/R8)^(0.125)-1</f>
        <v>0.11812284404145723</v>
      </c>
      <c r="S18" s="19">
        <f>+(S16/S8)^(0.125)-1</f>
        <v>0.40412937241823754</v>
      </c>
    </row>
    <row r="65536" ht="12.75">
      <c r="Q65536" s="27">
        <f>+P65536-M65536-L65536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Brownsberger</dc:creator>
  <cp:keywords/>
  <dc:description/>
  <cp:lastModifiedBy>William Brownsberger</cp:lastModifiedBy>
  <dcterms:created xsi:type="dcterms:W3CDTF">2010-04-18T16:06:26Z</dcterms:created>
  <dcterms:modified xsi:type="dcterms:W3CDTF">2010-04-19T14:34:22Z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